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C:\Users\20176\Desktop\"/>
    </mc:Choice>
  </mc:AlternateContent>
  <xr:revisionPtr revIDLastSave="0" documentId="13_ncr:1_{7A252934-49D0-40AF-9DB8-EEB39AE2A1D7}" xr6:coauthVersionLast="36" xr6:coauthVersionMax="36" xr10:uidLastSave="{00000000-0000-0000-0000-000000000000}"/>
  <bookViews>
    <workbookView xWindow="0" yWindow="0" windowWidth="28800" windowHeight="13935" tabRatio="687" xr2:uid="{00000000-000D-0000-FFFF-FFFF00000000}"/>
  </bookViews>
  <sheets>
    <sheet name="駐車、洗車、雨水流入" sheetId="1" r:id="rId1"/>
    <sheet name="データ" sheetId="10" state="hidden" r:id="rId2"/>
    <sheet name="製品一覧" sheetId="6" state="hidden" r:id="rId3"/>
    <sheet name="改訂履歴" sheetId="14" state="hidden" r:id="rId4"/>
  </sheets>
  <externalReferences>
    <externalReference r:id="rId5"/>
  </externalReferences>
  <definedNames>
    <definedName name="_Key1" hidden="1">データ!#REF!</definedName>
    <definedName name="_Order1" hidden="1">0</definedName>
    <definedName name="_Order2" hidden="1">0</definedName>
    <definedName name="A">'駐車、洗車、雨水流入'!$AK$23</definedName>
    <definedName name="DATA">データ!$A$4:$O$14</definedName>
    <definedName name="gb">'駐車、洗車、雨水流入'!#REF!</definedName>
    <definedName name="gb_">#REF!</definedName>
    <definedName name="gu">'駐車、洗車、雨水流入'!#REF!</definedName>
    <definedName name="gu_">#REF!</definedName>
    <definedName name="ib">'駐車、洗車、雨水流入'!#REF!</definedName>
    <definedName name="ID">[1]A!#REF!</definedName>
    <definedName name="iu">'駐車、洗車、雨水流入'!#REF!</definedName>
    <definedName name="k">'駐車、洗車、雨水流入'!$AK$27</definedName>
    <definedName name="MAP" localSheetId="1">データ!#REF!</definedName>
    <definedName name="MAP">#REF!</definedName>
    <definedName name="n">'駐車、洗車、雨水流入'!#REF!</definedName>
    <definedName name="N_">#REF!</definedName>
    <definedName name="n0">'駐車、洗車、雨水流入'!$AK$25</definedName>
    <definedName name="_xlnm.Print_Area" localSheetId="0">'駐車、洗車、雨水流入'!$A$20:$AL$55</definedName>
    <definedName name="STD" localSheetId="1">データ!#REF!</definedName>
    <definedName name="STD">#REF!</definedName>
    <definedName name="t">'駐車、洗車、雨水流入'!$AK$26</definedName>
    <definedName name="Wm">'駐車、洗車、雨水流入'!$AK$24</definedName>
    <definedName name="Wm_">#REF!</definedName>
  </definedNames>
  <calcPr calcId="191029"/>
</workbook>
</file>

<file path=xl/calcChain.xml><?xml version="1.0" encoding="utf-8"?>
<calcChain xmlns="http://schemas.openxmlformats.org/spreadsheetml/2006/main">
  <c r="M46" i="1" l="1"/>
  <c r="M45" i="1"/>
  <c r="I8" i="6" l="1"/>
  <c r="V46" i="14" l="1"/>
  <c r="U46" i="14"/>
  <c r="T46" i="14"/>
  <c r="S46" i="14"/>
  <c r="R46" i="14"/>
  <c r="R48" i="14" s="1"/>
  <c r="R47" i="14" s="1"/>
  <c r="Q46" i="14"/>
  <c r="Q48" i="14" s="1"/>
  <c r="Q47" i="14" s="1"/>
  <c r="P46" i="14"/>
  <c r="P48" i="14" s="1"/>
  <c r="O46" i="14"/>
  <c r="N46" i="14"/>
  <c r="N48" i="14" s="1"/>
  <c r="N47" i="14" s="1"/>
  <c r="M46" i="14"/>
  <c r="M48" i="14" s="1"/>
  <c r="M47" i="14" s="1"/>
  <c r="L46" i="14"/>
  <c r="L48" i="14" s="1"/>
  <c r="L47" i="14" s="1"/>
  <c r="K46" i="14"/>
  <c r="K47" i="14" s="1"/>
  <c r="S48" i="14" l="1"/>
  <c r="S47" i="14" s="1"/>
  <c r="T48" i="14"/>
  <c r="T47" i="14" s="1"/>
  <c r="U48" i="14"/>
  <c r="U47" i="14" s="1"/>
  <c r="V48" i="14"/>
  <c r="V47" i="14" s="1"/>
  <c r="P47" i="14"/>
  <c r="F14" i="10" l="1"/>
  <c r="F12" i="10"/>
  <c r="F11" i="10"/>
  <c r="F17" i="10" s="1"/>
  <c r="G17" i="10"/>
  <c r="G14" i="10"/>
  <c r="G12" i="10"/>
  <c r="D11" i="10"/>
  <c r="D17" i="10" s="1"/>
  <c r="C12" i="10"/>
  <c r="D12" i="10"/>
  <c r="E12" i="10"/>
  <c r="H12" i="10"/>
  <c r="I12" i="10"/>
  <c r="J12" i="10"/>
  <c r="K12" i="10"/>
  <c r="L12" i="10"/>
  <c r="M12" i="10"/>
  <c r="N12" i="10"/>
  <c r="C14" i="10"/>
  <c r="D14" i="10"/>
  <c r="E14" i="10"/>
  <c r="H14" i="10"/>
  <c r="I14" i="10"/>
  <c r="J14" i="10"/>
  <c r="K14" i="10"/>
  <c r="L14" i="10"/>
  <c r="M14" i="10"/>
  <c r="N14" i="10"/>
  <c r="B14" i="10"/>
  <c r="B12" i="10"/>
  <c r="H11" i="10"/>
  <c r="H17" i="10" s="1"/>
  <c r="I11" i="10"/>
  <c r="I17" i="10" s="1"/>
  <c r="J11" i="10"/>
  <c r="J17" i="10" s="1"/>
  <c r="K11" i="10"/>
  <c r="K17" i="10" s="1"/>
  <c r="L11" i="10"/>
  <c r="L17" i="10" s="1"/>
  <c r="M11" i="10"/>
  <c r="M17" i="10" s="1"/>
  <c r="N11" i="10"/>
  <c r="N17" i="10" s="1"/>
  <c r="AK23" i="1" l="1"/>
  <c r="I66" i="6" l="1"/>
  <c r="C66" i="6"/>
  <c r="I65" i="6"/>
  <c r="I64" i="6"/>
  <c r="C64" i="6"/>
  <c r="I63" i="6"/>
  <c r="I62" i="6"/>
  <c r="I61" i="6"/>
  <c r="I60" i="6"/>
  <c r="I59" i="6"/>
  <c r="I58" i="6"/>
  <c r="I57" i="6"/>
  <c r="C57" i="6"/>
  <c r="I56" i="6"/>
  <c r="I55" i="6"/>
  <c r="C55" i="6"/>
  <c r="I54" i="6"/>
  <c r="I53" i="6"/>
  <c r="I52" i="6"/>
  <c r="I51" i="6"/>
  <c r="I50" i="6"/>
  <c r="I49" i="6"/>
  <c r="I48" i="6"/>
  <c r="C48" i="6"/>
  <c r="I47" i="6"/>
  <c r="I46" i="6"/>
  <c r="C46" i="6"/>
  <c r="I45" i="6"/>
  <c r="I44" i="6"/>
  <c r="I43" i="6"/>
  <c r="I42" i="6"/>
  <c r="I41" i="6"/>
  <c r="I40" i="6"/>
  <c r="I39" i="6"/>
  <c r="I38" i="6"/>
  <c r="I37" i="6"/>
  <c r="C37" i="6"/>
  <c r="I36" i="6"/>
  <c r="I35" i="6"/>
  <c r="C35" i="6"/>
  <c r="I34" i="6"/>
  <c r="I33" i="6"/>
  <c r="I32" i="6"/>
  <c r="I31" i="6"/>
  <c r="I30" i="6"/>
  <c r="I29" i="6"/>
  <c r="I28" i="6"/>
  <c r="C28" i="6"/>
  <c r="I27" i="6"/>
  <c r="I26" i="6"/>
  <c r="C26" i="6"/>
  <c r="I25" i="6"/>
  <c r="I24" i="6"/>
  <c r="I23" i="6"/>
  <c r="I22" i="6"/>
  <c r="I21" i="6"/>
  <c r="I20" i="6"/>
  <c r="I19" i="6"/>
  <c r="C19" i="6"/>
  <c r="I18" i="6"/>
  <c r="C18" i="6"/>
  <c r="I17" i="6"/>
  <c r="C17" i="6"/>
  <c r="I16" i="6"/>
  <c r="C16" i="6"/>
  <c r="I15" i="6"/>
  <c r="C15" i="6"/>
  <c r="I14" i="6"/>
  <c r="C14" i="6"/>
  <c r="I13" i="6"/>
  <c r="C13" i="6"/>
  <c r="I12" i="6"/>
  <c r="I11" i="6"/>
  <c r="I10" i="6"/>
  <c r="I9" i="6"/>
  <c r="I7" i="6"/>
  <c r="I6" i="6"/>
  <c r="I5" i="6"/>
  <c r="I4" i="6"/>
  <c r="I3" i="6"/>
  <c r="J8" i="6" s="1"/>
  <c r="E17" i="10"/>
  <c r="C11" i="10"/>
  <c r="C17" i="10" s="1"/>
  <c r="B11" i="10"/>
  <c r="B17" i="10" s="1"/>
  <c r="M7" i="10"/>
  <c r="N7" i="10" s="1"/>
  <c r="O7" i="10" s="1"/>
  <c r="P7" i="10" s="1"/>
  <c r="Q7" i="10" s="1"/>
  <c r="P49" i="1"/>
  <c r="L49" i="1"/>
  <c r="H49" i="1"/>
  <c r="AK41" i="1"/>
  <c r="AQ40" i="1"/>
  <c r="AK40" i="1"/>
  <c r="AK36" i="1"/>
  <c r="AQ37" i="1" s="1"/>
  <c r="AQ35" i="1"/>
  <c r="AK35" i="1"/>
  <c r="AQ36" i="1" s="1"/>
  <c r="AK30" i="1"/>
  <c r="AP31" i="1" s="1"/>
  <c r="AK29" i="1"/>
  <c r="AP30" i="1" s="1"/>
  <c r="AT27" i="1"/>
  <c r="AR27" i="1"/>
  <c r="AS27" i="1" s="1"/>
  <c r="AK26" i="1"/>
  <c r="AK25" i="1"/>
  <c r="AK24" i="1"/>
  <c r="AI20" i="1"/>
  <c r="K20" i="1"/>
  <c r="K8" i="6" l="1"/>
  <c r="P8" i="6"/>
  <c r="M8" i="6"/>
  <c r="AS24" i="1"/>
  <c r="AT24" i="1" s="1"/>
  <c r="AU24" i="1" s="1"/>
  <c r="AP24" i="1"/>
  <c r="AQ24" i="1" s="1"/>
  <c r="AR24" i="1" s="1"/>
  <c r="AQ44" i="1"/>
  <c r="AQ42" i="1"/>
  <c r="Y34" i="1"/>
  <c r="Y28" i="1"/>
  <c r="AU32" i="1"/>
  <c r="Y29" i="1" s="1"/>
  <c r="X23" i="1"/>
  <c r="AP22" i="1"/>
  <c r="AQ22" i="1" s="1"/>
  <c r="AR22" i="1" s="1"/>
  <c r="AS22" i="1"/>
  <c r="AT22" i="1" s="1"/>
  <c r="Y24" i="1"/>
  <c r="AS35" i="1"/>
  <c r="Y35" i="1" s="1"/>
  <c r="J64" i="6"/>
  <c r="J57" i="6"/>
  <c r="J51" i="6"/>
  <c r="J45" i="6"/>
  <c r="J37" i="6"/>
  <c r="J31" i="6"/>
  <c r="J25" i="6"/>
  <c r="J13" i="6"/>
  <c r="J50" i="6"/>
  <c r="J44" i="6"/>
  <c r="J30" i="6"/>
  <c r="J24" i="6"/>
  <c r="J18" i="6"/>
  <c r="J10" i="6"/>
  <c r="J63" i="6"/>
  <c r="J56" i="6"/>
  <c r="J49" i="6"/>
  <c r="J43" i="6"/>
  <c r="J36" i="6"/>
  <c r="J29" i="6"/>
  <c r="J23" i="6"/>
  <c r="J15" i="6"/>
  <c r="J62" i="6"/>
  <c r="J55" i="6"/>
  <c r="J48" i="6"/>
  <c r="J42" i="6"/>
  <c r="J35" i="6"/>
  <c r="J28" i="6"/>
  <c r="J22" i="6"/>
  <c r="J12" i="6"/>
  <c r="J61" i="6"/>
  <c r="J41" i="6"/>
  <c r="J21" i="6"/>
  <c r="J17" i="6"/>
  <c r="J9" i="6"/>
  <c r="J66" i="6"/>
  <c r="J60" i="6"/>
  <c r="J54" i="6"/>
  <c r="J47" i="6"/>
  <c r="J40" i="6"/>
  <c r="J34" i="6"/>
  <c r="J27" i="6"/>
  <c r="J20" i="6"/>
  <c r="J14" i="6"/>
  <c r="J65" i="6"/>
  <c r="J58" i="6"/>
  <c r="J52" i="6"/>
  <c r="J38" i="6"/>
  <c r="J32" i="6"/>
  <c r="J16" i="6"/>
  <c r="J7" i="6"/>
  <c r="J11" i="6"/>
  <c r="J33" i="6"/>
  <c r="J53" i="6"/>
  <c r="J39" i="6"/>
  <c r="J6" i="6"/>
  <c r="J19" i="6"/>
  <c r="J59" i="6"/>
  <c r="J26" i="6"/>
  <c r="J46" i="6"/>
  <c r="J5" i="6"/>
  <c r="J4" i="6"/>
  <c r="J67" i="6" l="1"/>
  <c r="AS40" i="1"/>
  <c r="Y40" i="1" s="1"/>
  <c r="AU22" i="1"/>
  <c r="Y39" i="1"/>
  <c r="M44" i="1"/>
  <c r="AY22" i="1" s="1"/>
  <c r="AN44" i="1"/>
  <c r="K3" i="6" s="1"/>
  <c r="M3" i="6"/>
  <c r="N8" i="6" s="1"/>
  <c r="O8" i="6" s="1"/>
  <c r="M47" i="6"/>
  <c r="K47" i="6"/>
  <c r="P47" i="6"/>
  <c r="M6" i="6"/>
  <c r="P6" i="6"/>
  <c r="K6" i="6"/>
  <c r="P38" i="6"/>
  <c r="M38" i="6"/>
  <c r="K38" i="6"/>
  <c r="M40" i="6"/>
  <c r="K40" i="6"/>
  <c r="P40" i="6"/>
  <c r="M41" i="6"/>
  <c r="K41" i="6"/>
  <c r="P41" i="6"/>
  <c r="M55" i="6"/>
  <c r="K55" i="6"/>
  <c r="P55" i="6"/>
  <c r="K56" i="6"/>
  <c r="P56" i="6"/>
  <c r="M56" i="6"/>
  <c r="P13" i="6"/>
  <c r="M13" i="6"/>
  <c r="K13" i="6"/>
  <c r="M62" i="6"/>
  <c r="K62" i="6"/>
  <c r="P62" i="6"/>
  <c r="P53" i="6"/>
  <c r="M53" i="6"/>
  <c r="K53" i="6"/>
  <c r="P58" i="6"/>
  <c r="M58" i="6"/>
  <c r="K58" i="6"/>
  <c r="M54" i="6"/>
  <c r="K54" i="6"/>
  <c r="P54" i="6"/>
  <c r="M12" i="6"/>
  <c r="K12" i="6"/>
  <c r="P12" i="6"/>
  <c r="K15" i="6"/>
  <c r="P15" i="6"/>
  <c r="M15" i="6"/>
  <c r="K10" i="6"/>
  <c r="P10" i="6"/>
  <c r="M10" i="6"/>
  <c r="P31" i="6"/>
  <c r="M31" i="6"/>
  <c r="K31" i="6"/>
  <c r="K63" i="6"/>
  <c r="P63" i="6"/>
  <c r="M63" i="6"/>
  <c r="P4" i="6"/>
  <c r="M4" i="6"/>
  <c r="K4" i="6"/>
  <c r="K5" i="6"/>
  <c r="P5" i="6"/>
  <c r="M5" i="6"/>
  <c r="P33" i="6"/>
  <c r="M33" i="6"/>
  <c r="K33" i="6"/>
  <c r="P65" i="6"/>
  <c r="M65" i="6"/>
  <c r="K65" i="6"/>
  <c r="M60" i="6"/>
  <c r="K60" i="6"/>
  <c r="P60" i="6"/>
  <c r="M22" i="6"/>
  <c r="K22" i="6"/>
  <c r="P22" i="6"/>
  <c r="K23" i="6"/>
  <c r="P23" i="6"/>
  <c r="M23" i="6"/>
  <c r="K18" i="6"/>
  <c r="P18" i="6"/>
  <c r="M18" i="6"/>
  <c r="P37" i="6"/>
  <c r="M37" i="6"/>
  <c r="K37" i="6"/>
  <c r="P52" i="6"/>
  <c r="M52" i="6"/>
  <c r="K52" i="6"/>
  <c r="P11" i="6"/>
  <c r="M11" i="6"/>
  <c r="K11" i="6"/>
  <c r="M14" i="6"/>
  <c r="K14" i="6"/>
  <c r="P14" i="6"/>
  <c r="M66" i="6"/>
  <c r="K66" i="6"/>
  <c r="P66" i="6"/>
  <c r="M28" i="6"/>
  <c r="K28" i="6"/>
  <c r="P28" i="6"/>
  <c r="K29" i="6"/>
  <c r="P29" i="6"/>
  <c r="M29" i="6"/>
  <c r="K24" i="6"/>
  <c r="P24" i="6"/>
  <c r="M24" i="6"/>
  <c r="P45" i="6"/>
  <c r="M45" i="6"/>
  <c r="K45" i="6"/>
  <c r="P25" i="6"/>
  <c r="M25" i="6"/>
  <c r="K25" i="6"/>
  <c r="P26" i="6"/>
  <c r="M26" i="6"/>
  <c r="K26" i="6"/>
  <c r="M7" i="6"/>
  <c r="P7" i="6"/>
  <c r="K7" i="6"/>
  <c r="M20" i="6"/>
  <c r="K20" i="6"/>
  <c r="P20" i="6"/>
  <c r="M9" i="6"/>
  <c r="K9" i="6"/>
  <c r="P9" i="6"/>
  <c r="M35" i="6"/>
  <c r="K35" i="6"/>
  <c r="P35" i="6"/>
  <c r="K36" i="6"/>
  <c r="P36" i="6"/>
  <c r="M36" i="6"/>
  <c r="K30" i="6"/>
  <c r="P30" i="6"/>
  <c r="M30" i="6"/>
  <c r="P51" i="6"/>
  <c r="M51" i="6"/>
  <c r="K51" i="6"/>
  <c r="P39" i="6"/>
  <c r="M39" i="6"/>
  <c r="K39" i="6"/>
  <c r="P59" i="6"/>
  <c r="M59" i="6"/>
  <c r="K59" i="6"/>
  <c r="P16" i="6"/>
  <c r="M16" i="6"/>
  <c r="K16" i="6"/>
  <c r="M27" i="6"/>
  <c r="K27" i="6"/>
  <c r="P27" i="6"/>
  <c r="M17" i="6"/>
  <c r="K17" i="6"/>
  <c r="P17" i="6"/>
  <c r="M42" i="6"/>
  <c r="K42" i="6"/>
  <c r="P42" i="6"/>
  <c r="K43" i="6"/>
  <c r="P43" i="6"/>
  <c r="M43" i="6"/>
  <c r="K44" i="6"/>
  <c r="P44" i="6"/>
  <c r="M44" i="6"/>
  <c r="P57" i="6"/>
  <c r="M57" i="6"/>
  <c r="K57" i="6"/>
  <c r="M61" i="6"/>
  <c r="K61" i="6"/>
  <c r="P61" i="6"/>
  <c r="P46" i="6"/>
  <c r="M46" i="6"/>
  <c r="K46" i="6"/>
  <c r="P19" i="6"/>
  <c r="M19" i="6"/>
  <c r="K19" i="6"/>
  <c r="P32" i="6"/>
  <c r="M32" i="6"/>
  <c r="K32" i="6"/>
  <c r="M34" i="6"/>
  <c r="K34" i="6"/>
  <c r="P34" i="6"/>
  <c r="M21" i="6"/>
  <c r="K21" i="6"/>
  <c r="P21" i="6"/>
  <c r="M48" i="6"/>
  <c r="K48" i="6"/>
  <c r="P48" i="6"/>
  <c r="K49" i="6"/>
  <c r="P49" i="6"/>
  <c r="M49" i="6"/>
  <c r="K50" i="6"/>
  <c r="P50" i="6"/>
  <c r="M50" i="6"/>
  <c r="P64" i="6"/>
  <c r="M64" i="6"/>
  <c r="K64" i="6"/>
  <c r="L8" i="6" l="1"/>
  <c r="L7" i="6"/>
  <c r="N34" i="6"/>
  <c r="O34" i="6" s="1"/>
  <c r="N66" i="6"/>
  <c r="O66" i="6" s="1"/>
  <c r="N32" i="6"/>
  <c r="O32" i="6" s="1"/>
  <c r="N30" i="6"/>
  <c r="O30" i="6" s="1"/>
  <c r="N7" i="6"/>
  <c r="O7" i="6" s="1"/>
  <c r="N51" i="6"/>
  <c r="O51" i="6" s="1"/>
  <c r="N31" i="6"/>
  <c r="O31" i="6" s="1"/>
  <c r="N64" i="6"/>
  <c r="O64" i="6" s="1"/>
  <c r="N42" i="6"/>
  <c r="O42" i="6" s="1"/>
  <c r="N60" i="6"/>
  <c r="O60" i="6" s="1"/>
  <c r="N43" i="6"/>
  <c r="O43" i="6" s="1"/>
  <c r="N25" i="6"/>
  <c r="O25" i="6" s="1"/>
  <c r="N50" i="6"/>
  <c r="O50" i="6" s="1"/>
  <c r="N44" i="6"/>
  <c r="O44" i="6" s="1"/>
  <c r="N45" i="6"/>
  <c r="O45" i="6" s="1"/>
  <c r="N46" i="6"/>
  <c r="O46" i="6" s="1"/>
  <c r="N52" i="6"/>
  <c r="O52" i="6" s="1"/>
  <c r="N13" i="6"/>
  <c r="O13" i="6" s="1"/>
  <c r="N17" i="6"/>
  <c r="O17" i="6" s="1"/>
  <c r="N65" i="6"/>
  <c r="O65" i="6" s="1"/>
  <c r="N35" i="6"/>
  <c r="O35" i="6" s="1"/>
  <c r="N61" i="6"/>
  <c r="O61" i="6" s="1"/>
  <c r="P3" i="6"/>
  <c r="N20" i="6"/>
  <c r="O20" i="6" s="1"/>
  <c r="N23" i="6"/>
  <c r="O23" i="6" s="1"/>
  <c r="N29" i="6"/>
  <c r="O29" i="6" s="1"/>
  <c r="N48" i="6"/>
  <c r="O48" i="6" s="1"/>
  <c r="N59" i="6"/>
  <c r="O59" i="6" s="1"/>
  <c r="N14" i="6"/>
  <c r="O14" i="6" s="1"/>
  <c r="N12" i="6"/>
  <c r="O12" i="6" s="1"/>
  <c r="N37" i="6"/>
  <c r="O37" i="6" s="1"/>
  <c r="N4" i="6"/>
  <c r="O4" i="6" s="1"/>
  <c r="N16" i="6"/>
  <c r="O16" i="6" s="1"/>
  <c r="N10" i="6"/>
  <c r="O10" i="6" s="1"/>
  <c r="N53" i="6"/>
  <c r="O53" i="6" s="1"/>
  <c r="N5" i="6"/>
  <c r="O5" i="6" s="1"/>
  <c r="N56" i="6"/>
  <c r="O56" i="6" s="1"/>
  <c r="N62" i="6"/>
  <c r="O62" i="6" s="1"/>
  <c r="N41" i="6"/>
  <c r="O41" i="6" s="1"/>
  <c r="N49" i="6"/>
  <c r="O49" i="6" s="1"/>
  <c r="N21" i="6"/>
  <c r="O21" i="6" s="1"/>
  <c r="N19" i="6"/>
  <c r="O19" i="6" s="1"/>
  <c r="N57" i="6"/>
  <c r="O57" i="6" s="1"/>
  <c r="N27" i="6"/>
  <c r="O27" i="6" s="1"/>
  <c r="N39" i="6"/>
  <c r="O39" i="6" s="1"/>
  <c r="N36" i="6"/>
  <c r="O36" i="6" s="1"/>
  <c r="N9" i="6"/>
  <c r="O9" i="6" s="1"/>
  <c r="N26" i="6"/>
  <c r="O26" i="6" s="1"/>
  <c r="N24" i="6"/>
  <c r="O24" i="6" s="1"/>
  <c r="N18" i="6"/>
  <c r="O18" i="6" s="1"/>
  <c r="N6" i="6"/>
  <c r="O6" i="6" s="1"/>
  <c r="N22" i="6"/>
  <c r="O22" i="6" s="1"/>
  <c r="N63" i="6"/>
  <c r="O63" i="6" s="1"/>
  <c r="N28" i="6"/>
  <c r="O28" i="6" s="1"/>
  <c r="N11" i="6"/>
  <c r="O11" i="6" s="1"/>
  <c r="N33" i="6"/>
  <c r="O33" i="6" s="1"/>
  <c r="N15" i="6"/>
  <c r="O15" i="6" s="1"/>
  <c r="N54" i="6"/>
  <c r="O54" i="6" s="1"/>
  <c r="L39" i="6"/>
  <c r="L9" i="6"/>
  <c r="L22" i="6"/>
  <c r="L57" i="6"/>
  <c r="L27" i="6"/>
  <c r="L26" i="6"/>
  <c r="L11" i="6"/>
  <c r="L64" i="6"/>
  <c r="L43" i="6"/>
  <c r="L30" i="6"/>
  <c r="L28" i="6"/>
  <c r="L33" i="6"/>
  <c r="L62" i="6"/>
  <c r="L47" i="6"/>
  <c r="L42" i="6"/>
  <c r="L51" i="6"/>
  <c r="L24" i="6"/>
  <c r="L60" i="6"/>
  <c r="L63" i="6"/>
  <c r="L38" i="6"/>
  <c r="L34" i="6"/>
  <c r="L20" i="6"/>
  <c r="L58" i="6"/>
  <c r="L46" i="6"/>
  <c r="L52" i="6"/>
  <c r="L49" i="6"/>
  <c r="L16" i="6"/>
  <c r="L36" i="6"/>
  <c r="L25" i="6"/>
  <c r="L66" i="6"/>
  <c r="L18" i="6"/>
  <c r="L50" i="6"/>
  <c r="L21" i="6"/>
  <c r="L19" i="6"/>
  <c r="L10" i="6"/>
  <c r="L54" i="6"/>
  <c r="L56" i="6"/>
  <c r="L40" i="6"/>
  <c r="L55" i="6"/>
  <c r="L32" i="6"/>
  <c r="L15" i="6"/>
  <c r="L13" i="6"/>
  <c r="L44" i="6"/>
  <c r="L17" i="6"/>
  <c r="L59" i="6"/>
  <c r="L35" i="6"/>
  <c r="L65" i="6"/>
  <c r="L5" i="6"/>
  <c r="L48" i="6"/>
  <c r="L31" i="6"/>
  <c r="L61" i="6"/>
  <c r="L45" i="6"/>
  <c r="L29" i="6"/>
  <c r="L14" i="6"/>
  <c r="L37" i="6"/>
  <c r="L23" i="6"/>
  <c r="L4" i="6"/>
  <c r="L12" i="6"/>
  <c r="L53" i="6"/>
  <c r="L41" i="6"/>
  <c r="L6" i="6"/>
  <c r="N40" i="6"/>
  <c r="O40" i="6" s="1"/>
  <c r="N47" i="6"/>
  <c r="O47" i="6" s="1"/>
  <c r="N58" i="6"/>
  <c r="O58" i="6" s="1"/>
  <c r="N55" i="6"/>
  <c r="O55" i="6" s="1"/>
  <c r="N38" i="6"/>
  <c r="O38" i="6" s="1"/>
  <c r="Q35" i="6" l="1"/>
  <c r="R35" i="6" s="1"/>
  <c r="Q8" i="6"/>
  <c r="R8" i="6" s="1"/>
  <c r="Q47" i="6"/>
  <c r="R47" i="6" s="1"/>
  <c r="Q41" i="6"/>
  <c r="R41" i="6" s="1"/>
  <c r="Q62" i="6"/>
  <c r="R62" i="6" s="1"/>
  <c r="Q49" i="6"/>
  <c r="R49" i="6" s="1"/>
  <c r="Q60" i="6"/>
  <c r="R60" i="6" s="1"/>
  <c r="Q33" i="6"/>
  <c r="R33" i="6" s="1"/>
  <c r="Q11" i="6"/>
  <c r="R11" i="6" s="1"/>
  <c r="Q66" i="6"/>
  <c r="R66" i="6" s="1"/>
  <c r="Q55" i="6"/>
  <c r="R55" i="6" s="1"/>
  <c r="Q24" i="6"/>
  <c r="R24" i="6" s="1"/>
  <c r="Q59" i="6"/>
  <c r="R59" i="6" s="1"/>
  <c r="Q26" i="6"/>
  <c r="R26" i="6" s="1"/>
  <c r="Q57" i="6"/>
  <c r="R57" i="6" s="1"/>
  <c r="Q22" i="6"/>
  <c r="R22" i="6" s="1"/>
  <c r="Q19" i="6"/>
  <c r="R19" i="6" s="1"/>
  <c r="Q28" i="6"/>
  <c r="R28" i="6" s="1"/>
  <c r="Q32" i="6"/>
  <c r="R32" i="6" s="1"/>
  <c r="Q6" i="6"/>
  <c r="R6" i="6" s="1"/>
  <c r="Q30" i="6"/>
  <c r="R30" i="6" s="1"/>
  <c r="Q7" i="6"/>
  <c r="R7" i="6" s="1"/>
  <c r="Q38" i="6"/>
  <c r="R38" i="6" s="1"/>
  <c r="Q27" i="6"/>
  <c r="R27" i="6" s="1"/>
  <c r="Q61" i="6"/>
  <c r="R61" i="6" s="1"/>
  <c r="Q10" i="6"/>
  <c r="R10" i="6" s="1"/>
  <c r="Q58" i="6"/>
  <c r="R58" i="6" s="1"/>
  <c r="Q14" i="6"/>
  <c r="R14" i="6" s="1"/>
  <c r="Q51" i="6"/>
  <c r="R51" i="6" s="1"/>
  <c r="Q53" i="6"/>
  <c r="R53" i="6" s="1"/>
  <c r="Q15" i="6"/>
  <c r="R15" i="6" s="1"/>
  <c r="Q4" i="6"/>
  <c r="R4" i="6" s="1"/>
  <c r="Q34" i="6"/>
  <c r="R34" i="6" s="1"/>
  <c r="Q48" i="6"/>
  <c r="R48" i="6" s="1"/>
  <c r="Q37" i="6"/>
  <c r="R37" i="6" s="1"/>
  <c r="Q56" i="6"/>
  <c r="R56" i="6" s="1"/>
  <c r="Q45" i="6"/>
  <c r="R45" i="6" s="1"/>
  <c r="Q42" i="6"/>
  <c r="R42" i="6" s="1"/>
  <c r="Q21" i="6"/>
  <c r="R21" i="6" s="1"/>
  <c r="Q5" i="6"/>
  <c r="R5" i="6" s="1"/>
  <c r="Q65" i="6"/>
  <c r="R65" i="6" s="1"/>
  <c r="Q63" i="6"/>
  <c r="R63" i="6" s="1"/>
  <c r="Q40" i="6"/>
  <c r="R40" i="6" s="1"/>
  <c r="Q16" i="6"/>
  <c r="R16" i="6" s="1"/>
  <c r="Q44" i="6"/>
  <c r="R44" i="6" s="1"/>
  <c r="Q9" i="6"/>
  <c r="R9" i="6" s="1"/>
  <c r="Q18" i="6"/>
  <c r="R18" i="6" s="1"/>
  <c r="Q54" i="6"/>
  <c r="R54" i="6" s="1"/>
  <c r="Q43" i="6"/>
  <c r="R43" i="6" s="1"/>
  <c r="Q12" i="6"/>
  <c r="R12" i="6" s="1"/>
  <c r="Q20" i="6"/>
  <c r="R20" i="6" s="1"/>
  <c r="Q64" i="6"/>
  <c r="R64" i="6" s="1"/>
  <c r="Q23" i="6"/>
  <c r="R23" i="6" s="1"/>
  <c r="Q36" i="6"/>
  <c r="R36" i="6" s="1"/>
  <c r="Q50" i="6"/>
  <c r="R50" i="6" s="1"/>
  <c r="Q52" i="6"/>
  <c r="R52" i="6" s="1"/>
  <c r="Q39" i="6"/>
  <c r="R39" i="6" s="1"/>
  <c r="Q46" i="6"/>
  <c r="R46" i="6" s="1"/>
  <c r="Q29" i="6"/>
  <c r="R29" i="6" s="1"/>
  <c r="Q13" i="6"/>
  <c r="R13" i="6" s="1"/>
  <c r="Q17" i="6"/>
  <c r="R17" i="6" s="1"/>
  <c r="Q25" i="6"/>
  <c r="R25" i="6" s="1"/>
  <c r="Q31" i="6"/>
  <c r="R31" i="6" s="1"/>
  <c r="L67" i="6"/>
  <c r="L68" i="6" s="1"/>
  <c r="O67" i="6"/>
  <c r="O68" i="6" s="1"/>
  <c r="R67" i="6" l="1"/>
  <c r="R68" i="6" s="1"/>
  <c r="S68" i="6" s="1"/>
  <c r="S70" i="6" l="1"/>
  <c r="S8" i="6" s="1"/>
  <c r="T8" i="6" s="1"/>
  <c r="S69" i="6"/>
  <c r="S14" i="6" l="1"/>
  <c r="T14" i="6" s="1"/>
  <c r="S36" i="6"/>
  <c r="T36" i="6" s="1"/>
  <c r="S34" i="6"/>
  <c r="T34" i="6" s="1"/>
  <c r="S25" i="6"/>
  <c r="T25" i="6" s="1"/>
  <c r="S19" i="6"/>
  <c r="T19" i="6" s="1"/>
  <c r="S16" i="6"/>
  <c r="T16" i="6" s="1"/>
  <c r="S62" i="6"/>
  <c r="T62" i="6" s="1"/>
  <c r="S65" i="6"/>
  <c r="T65" i="6" s="1"/>
  <c r="S47" i="6"/>
  <c r="T47" i="6" s="1"/>
  <c r="S37" i="6"/>
  <c r="T37" i="6" s="1"/>
  <c r="S56" i="6"/>
  <c r="T56" i="6" s="1"/>
  <c r="S57" i="6"/>
  <c r="T57" i="6" s="1"/>
  <c r="S21" i="6"/>
  <c r="T21" i="6" s="1"/>
  <c r="S28" i="6"/>
  <c r="T28" i="6" s="1"/>
  <c r="S20" i="6"/>
  <c r="T20" i="6" s="1"/>
  <c r="S23" i="6"/>
  <c r="T23" i="6" s="1"/>
  <c r="S13" i="6"/>
  <c r="T13" i="6" s="1"/>
  <c r="S54" i="6"/>
  <c r="T54" i="6" s="1"/>
  <c r="S43" i="6"/>
  <c r="T43" i="6" s="1"/>
  <c r="S45" i="6"/>
  <c r="T45" i="6" s="1"/>
  <c r="S9" i="6"/>
  <c r="T9" i="6" s="1"/>
  <c r="S71" i="6"/>
  <c r="AD45" i="1" s="1"/>
  <c r="S10" i="6"/>
  <c r="T10" i="6" s="1"/>
  <c r="S11" i="6"/>
  <c r="T11" i="6" s="1"/>
  <c r="S4" i="6"/>
  <c r="T4" i="6" s="1"/>
  <c r="S24" i="6"/>
  <c r="T24" i="6" s="1"/>
  <c r="S12" i="6"/>
  <c r="T12" i="6" s="1"/>
  <c r="S58" i="6"/>
  <c r="T58" i="6" s="1"/>
  <c r="S72" i="6"/>
  <c r="AD46" i="1" s="1"/>
  <c r="AD44" i="1"/>
  <c r="S15" i="6"/>
  <c r="T15" i="6" s="1"/>
  <c r="S40" i="6"/>
  <c r="T40" i="6" s="1"/>
  <c r="S49" i="6"/>
  <c r="T49" i="6" s="1"/>
  <c r="S63" i="6"/>
  <c r="T63" i="6" s="1"/>
  <c r="S41" i="6"/>
  <c r="T41" i="6" s="1"/>
  <c r="S55" i="6"/>
  <c r="T55" i="6" s="1"/>
  <c r="S5" i="6"/>
  <c r="T5" i="6" s="1"/>
  <c r="U4" i="6" s="1"/>
  <c r="V4" i="6" s="1"/>
  <c r="S27" i="6"/>
  <c r="T27" i="6" s="1"/>
  <c r="S29" i="6"/>
  <c r="T29" i="6" s="1"/>
  <c r="S31" i="6"/>
  <c r="T31" i="6" s="1"/>
  <c r="S60" i="6"/>
  <c r="T60" i="6" s="1"/>
  <c r="S66" i="6"/>
  <c r="T66" i="6" s="1"/>
  <c r="S51" i="6"/>
  <c r="T51" i="6" s="1"/>
  <c r="S17" i="6"/>
  <c r="T17" i="6" s="1"/>
  <c r="S64" i="6"/>
  <c r="T64" i="6" s="1"/>
  <c r="S18" i="6"/>
  <c r="T18" i="6" s="1"/>
  <c r="S61" i="6"/>
  <c r="T61" i="6" s="1"/>
  <c r="S38" i="6"/>
  <c r="T38" i="6" s="1"/>
  <c r="S26" i="6"/>
  <c r="T26" i="6" s="1"/>
  <c r="S30" i="6"/>
  <c r="T30" i="6" s="1"/>
  <c r="S33" i="6"/>
  <c r="T33" i="6" s="1"/>
  <c r="S22" i="6"/>
  <c r="T22" i="6" s="1"/>
  <c r="S44" i="6"/>
  <c r="T44" i="6" s="1"/>
  <c r="S7" i="6"/>
  <c r="T7" i="6" s="1"/>
  <c r="S39" i="6"/>
  <c r="T39" i="6" s="1"/>
  <c r="S50" i="6"/>
  <c r="T50" i="6" s="1"/>
  <c r="S32" i="6"/>
  <c r="T32" i="6" s="1"/>
  <c r="S46" i="6"/>
  <c r="T46" i="6" s="1"/>
  <c r="S35" i="6"/>
  <c r="T35" i="6" s="1"/>
  <c r="S52" i="6"/>
  <c r="T52" i="6" s="1"/>
  <c r="S53" i="6"/>
  <c r="T53" i="6" s="1"/>
  <c r="S42" i="6"/>
  <c r="T42" i="6" s="1"/>
  <c r="S6" i="6"/>
  <c r="T6" i="6" s="1"/>
  <c r="S59" i="6"/>
  <c r="T59" i="6" s="1"/>
  <c r="S48" i="6"/>
  <c r="T48"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堺谷 竜男</author>
  </authors>
  <commentList>
    <comment ref="D11" authorId="0" shapeId="0" xr:uid="{7E3BA64F-550F-4B1C-BE9E-443AA3F9DB7D}">
      <text>
        <r>
          <rPr>
            <b/>
            <sz val="9"/>
            <color indexed="81"/>
            <rFont val="MS P ゴシック"/>
            <family val="3"/>
            <charset val="128"/>
          </rPr>
          <t>小数点以下、切り下げ。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矢野 禎典</author>
  </authors>
  <commentList>
    <comment ref="D2" authorId="0" shapeId="0" xr:uid="{00000000-0006-0000-0300-000001000000}">
      <text>
        <r>
          <rPr>
            <b/>
            <sz val="12"/>
            <color indexed="81"/>
            <rFont val="ＭＳ Ｐゴシック"/>
            <family val="3"/>
            <charset val="128"/>
          </rPr>
          <t>全角入力</t>
        </r>
      </text>
    </comment>
    <comment ref="K3" authorId="0" shapeId="0" xr:uid="{00000000-0006-0000-0300-000002000000}">
      <text>
        <r>
          <rPr>
            <b/>
            <sz val="12"/>
            <color indexed="81"/>
            <rFont val="ＭＳ Ｐゴシック"/>
            <family val="3"/>
            <charset val="128"/>
          </rPr>
          <t>流入流量</t>
        </r>
      </text>
    </comment>
    <comment ref="M3" authorId="0" shapeId="0" xr:uid="{00000000-0006-0000-0300-000003000000}">
      <text>
        <r>
          <rPr>
            <b/>
            <sz val="12"/>
            <color indexed="81"/>
            <rFont val="ＭＳ Ｐゴシック"/>
            <family val="3"/>
            <charset val="128"/>
          </rPr>
          <t>グリース＋たい積残さ</t>
        </r>
      </text>
    </comment>
    <comment ref="P3" authorId="0" shapeId="0" xr:uid="{00000000-0006-0000-0300-000004000000}">
      <text>
        <r>
          <rPr>
            <b/>
            <sz val="12"/>
            <color indexed="81"/>
            <rFont val="ＭＳ Ｐゴシック"/>
            <family val="3"/>
            <charset val="128"/>
          </rPr>
          <t>グリース＋たい積残さ</t>
        </r>
      </text>
    </comment>
  </commentList>
</comments>
</file>

<file path=xl/sharedStrings.xml><?xml version="1.0" encoding="utf-8"?>
<sst xmlns="http://schemas.openxmlformats.org/spreadsheetml/2006/main" count="512" uniqueCount="300">
  <si>
    <t>計算</t>
  </si>
  <si>
    <t xml:space="preserve">[倍] </t>
  </si>
  <si>
    <t>計算式</t>
    <phoneticPr fontId="1"/>
  </si>
  <si>
    <t xml:space="preserve">[L/min] </t>
    <phoneticPr fontId="1"/>
  </si>
  <si>
    <t>許容流入流量(L/min)</t>
    <rPh sb="0" eb="2">
      <t>キョヨウ</t>
    </rPh>
    <rPh sb="2" eb="4">
      <t>リュウニュウ</t>
    </rPh>
    <rPh sb="4" eb="6">
      <t>リュウリョウ</t>
    </rPh>
    <phoneticPr fontId="8"/>
  </si>
  <si>
    <t>品番</t>
    <rPh sb="0" eb="2">
      <t>ヒンバン</t>
    </rPh>
    <phoneticPr fontId="8"/>
  </si>
  <si>
    <t>本体材質・使用用途</t>
    <rPh sb="0" eb="2">
      <t>ホンタイ</t>
    </rPh>
    <rPh sb="2" eb="4">
      <t>ザイシツ</t>
    </rPh>
    <rPh sb="5" eb="7">
      <t>シヨウ</t>
    </rPh>
    <rPh sb="7" eb="9">
      <t>ヨウト</t>
    </rPh>
    <phoneticPr fontId="8"/>
  </si>
  <si>
    <t>流入形態</t>
    <rPh sb="0" eb="2">
      <t>リュウニュウ</t>
    </rPh>
    <rPh sb="2" eb="4">
      <t>ケイタイ</t>
    </rPh>
    <phoneticPr fontId="1"/>
  </si>
  <si>
    <t>パイプ流入</t>
    <rPh sb="3" eb="5">
      <t>リュウニュウ</t>
    </rPh>
    <phoneticPr fontId="1"/>
  </si>
  <si>
    <t>側溝流入</t>
    <rPh sb="0" eb="2">
      <t>ソッコウ</t>
    </rPh>
    <rPh sb="2" eb="4">
      <t>リュウニュウ</t>
    </rPh>
    <phoneticPr fontId="1"/>
  </si>
  <si>
    <t>作成：</t>
    <rPh sb="0" eb="2">
      <t>サクセイ</t>
    </rPh>
    <phoneticPr fontId="1"/>
  </si>
  <si>
    <t>項目</t>
    <rPh sb="0" eb="2">
      <t>コウモク</t>
    </rPh>
    <phoneticPr fontId="1"/>
  </si>
  <si>
    <t>各値</t>
    <rPh sb="0" eb="1">
      <t>カク</t>
    </rPh>
    <rPh sb="1" eb="2">
      <t>アタイ</t>
    </rPh>
    <phoneticPr fontId="1"/>
  </si>
  <si>
    <t>[L/min]</t>
    <phoneticPr fontId="1"/>
  </si>
  <si>
    <t xml:space="preserve"> 　＝</t>
    <phoneticPr fontId="1"/>
  </si>
  <si>
    <t>[L/min]　・・・①</t>
    <phoneticPr fontId="1"/>
  </si>
  <si>
    <t>計算結果</t>
    <rPh sb="0" eb="2">
      <t>ケイサン</t>
    </rPh>
    <rPh sb="2" eb="4">
      <t>ケッカ</t>
    </rPh>
    <phoneticPr fontId="1"/>
  </si>
  <si>
    <t>本体材質</t>
    <rPh sb="0" eb="2">
      <t>ホンタイ</t>
    </rPh>
    <rPh sb="2" eb="4">
      <t>ザイシツ</t>
    </rPh>
    <phoneticPr fontId="1"/>
  </si>
  <si>
    <t>・</t>
    <phoneticPr fontId="1"/>
  </si>
  <si>
    <t>材質</t>
    <rPh sb="0" eb="2">
      <t>ザイシツ</t>
    </rPh>
    <phoneticPr fontId="1"/>
  </si>
  <si>
    <t>ＳＵＳ製</t>
    <rPh sb="3" eb="4">
      <t>セイ</t>
    </rPh>
    <phoneticPr fontId="1"/>
  </si>
  <si>
    <t>地中埋設型</t>
    <phoneticPr fontId="1"/>
  </si>
  <si>
    <t>床吊型</t>
    <phoneticPr fontId="1"/>
  </si>
  <si>
    <t>流入流量基準</t>
    <rPh sb="0" eb="2">
      <t>リュウニュウ</t>
    </rPh>
    <rPh sb="2" eb="4">
      <t>リュウリョウ</t>
    </rPh>
    <rPh sb="4" eb="6">
      <t>キジュン</t>
    </rPh>
    <phoneticPr fontId="1"/>
  </si>
  <si>
    <t>許容流入流量算出データ</t>
    <rPh sb="0" eb="2">
      <t>キョヨウ</t>
    </rPh>
    <rPh sb="2" eb="4">
      <t>リュウニュウ</t>
    </rPh>
    <rPh sb="4" eb="6">
      <t>リュウリョウ</t>
    </rPh>
    <rPh sb="6" eb="8">
      <t>サンシュツ</t>
    </rPh>
    <phoneticPr fontId="1"/>
  </si>
  <si>
    <t>一致=1</t>
    <rPh sb="0" eb="2">
      <t>イッチ</t>
    </rPh>
    <phoneticPr fontId="1"/>
  </si>
  <si>
    <t>←計算値</t>
    <rPh sb="1" eb="3">
      <t>ケイサン</t>
    </rPh>
    <rPh sb="3" eb="4">
      <t>チ</t>
    </rPh>
    <phoneticPr fontId="1"/>
  </si>
  <si>
    <t>ＦＲＰ製</t>
    <rPh sb="3" eb="4">
      <t>セイ</t>
    </rPh>
    <phoneticPr fontId="1"/>
  </si>
  <si>
    <t>表１　最低限必要な性能 （※１）</t>
    <rPh sb="0" eb="1">
      <t>ヒョウ</t>
    </rPh>
    <rPh sb="3" eb="6">
      <t>サイテイゲン</t>
    </rPh>
    <rPh sb="6" eb="8">
      <t>ヒツヨウ</t>
    </rPh>
    <rPh sb="9" eb="11">
      <t>セイノウ</t>
    </rPh>
    <phoneticPr fontId="1"/>
  </si>
  <si>
    <t>・</t>
    <phoneticPr fontId="1"/>
  </si>
  <si>
    <t>本体材質</t>
    <rPh sb="0" eb="2">
      <t>ホンタイ</t>
    </rPh>
    <rPh sb="2" eb="4">
      <t>ザイシツ</t>
    </rPh>
    <phoneticPr fontId="1"/>
  </si>
  <si>
    <t>使用用途</t>
    <rPh sb="0" eb="2">
      <t>シヨウ</t>
    </rPh>
    <rPh sb="2" eb="4">
      <t>ヨウト</t>
    </rPh>
    <phoneticPr fontId="1"/>
  </si>
  <si>
    <t>許容流入流量</t>
    <phoneticPr fontId="1"/>
  </si>
  <si>
    <t>機種選定</t>
    <rPh sb="0" eb="2">
      <t>キシュ</t>
    </rPh>
    <rPh sb="2" eb="4">
      <t>センテイ</t>
    </rPh>
    <phoneticPr fontId="1"/>
  </si>
  <si>
    <t>機種選定</t>
    <rPh sb="2" eb="4">
      <t>センテイ</t>
    </rPh>
    <phoneticPr fontId="1"/>
  </si>
  <si>
    <t>選定候補の
行番号</t>
    <rPh sb="0" eb="2">
      <t>センテイ</t>
    </rPh>
    <rPh sb="2" eb="4">
      <t>コウホ</t>
    </rPh>
    <rPh sb="6" eb="9">
      <t>ギョウバンゴウ</t>
    </rPh>
    <phoneticPr fontId="1"/>
  </si>
  <si>
    <t>水栓個数</t>
    <rPh sb="0" eb="2">
      <t>スイセン</t>
    </rPh>
    <rPh sb="2" eb="4">
      <t>コスウ</t>
    </rPh>
    <phoneticPr fontId="1"/>
  </si>
  <si>
    <t>ヶ</t>
    <phoneticPr fontId="1"/>
  </si>
  <si>
    <t>水栓口径</t>
    <rPh sb="0" eb="2">
      <t>スイセン</t>
    </rPh>
    <rPh sb="2" eb="4">
      <t>コウケイ</t>
    </rPh>
    <phoneticPr fontId="1"/>
  </si>
  <si>
    <t>GTS-300PDオイル</t>
    <phoneticPr fontId="1"/>
  </si>
  <si>
    <t>GTS-150PDオイル</t>
    <phoneticPr fontId="1"/>
  </si>
  <si>
    <t>GTS-300Sオイル</t>
    <phoneticPr fontId="1"/>
  </si>
  <si>
    <t>GTS-150Sオイル</t>
    <phoneticPr fontId="1"/>
  </si>
  <si>
    <t>GTS-300Pオイル</t>
    <phoneticPr fontId="1"/>
  </si>
  <si>
    <t>GTS-150Pオイル</t>
    <phoneticPr fontId="1"/>
  </si>
  <si>
    <t>GTS-300STオイル</t>
    <phoneticPr fontId="1"/>
  </si>
  <si>
    <t>GTS-150STオイル</t>
    <phoneticPr fontId="1"/>
  </si>
  <si>
    <t>地中埋設スリム型</t>
    <phoneticPr fontId="1"/>
  </si>
  <si>
    <t>洗車機を使用する場合の流量</t>
    <rPh sb="0" eb="3">
      <t>センシャキ</t>
    </rPh>
    <rPh sb="4" eb="6">
      <t>シヨウ</t>
    </rPh>
    <rPh sb="8" eb="10">
      <t>バアイ</t>
    </rPh>
    <rPh sb="11" eb="13">
      <t>リュウリョウ</t>
    </rPh>
    <phoneticPr fontId="1"/>
  </si>
  <si>
    <t>１日の洗車台数</t>
    <rPh sb="1" eb="2">
      <t>ニチ</t>
    </rPh>
    <rPh sb="3" eb="5">
      <t>センシャ</t>
    </rPh>
    <rPh sb="5" eb="7">
      <t>ダイスウ</t>
    </rPh>
    <phoneticPr fontId="1"/>
  </si>
  <si>
    <t>洗車機の数</t>
    <rPh sb="0" eb="3">
      <t>センシャキ</t>
    </rPh>
    <rPh sb="4" eb="5">
      <t>カズ</t>
    </rPh>
    <phoneticPr fontId="1"/>
  </si>
  <si>
    <r>
      <t>■</t>
    </r>
    <r>
      <rPr>
        <sz val="9"/>
        <rFont val="ＭＳ Ｐゴシック"/>
        <family val="3"/>
        <charset val="128"/>
      </rPr>
      <t>水栓の標準流量</t>
    </r>
    <r>
      <rPr>
        <b/>
        <sz val="9"/>
        <color indexed="10"/>
        <rFont val="ＭＳ Ｐゴシック"/>
        <family val="3"/>
        <charset val="128"/>
      </rPr>
      <t>（表－１）</t>
    </r>
    <rPh sb="1" eb="3">
      <t>スイセン</t>
    </rPh>
    <rPh sb="4" eb="6">
      <t>ヒョウジュン</t>
    </rPh>
    <rPh sb="6" eb="8">
      <t>リュウリョウ</t>
    </rPh>
    <rPh sb="9" eb="10">
      <t>ヒョウ</t>
    </rPh>
    <phoneticPr fontId="1"/>
  </si>
  <si>
    <t>口径〔ｍｍ〕</t>
    <rPh sb="0" eb="2">
      <t>コウケイ</t>
    </rPh>
    <phoneticPr fontId="1"/>
  </si>
  <si>
    <r>
      <t>■</t>
    </r>
    <r>
      <rPr>
        <sz val="9"/>
        <rFont val="ＭＳ Ｐゴシック"/>
        <family val="3"/>
        <charset val="128"/>
      </rPr>
      <t>水栓個数に対する同時使用倍率</t>
    </r>
    <r>
      <rPr>
        <b/>
        <sz val="9"/>
        <color indexed="10"/>
        <rFont val="ＭＳ Ｐゴシック"/>
        <family val="3"/>
        <charset val="128"/>
      </rPr>
      <t>（表－２）</t>
    </r>
    <rPh sb="1" eb="3">
      <t>スイセン</t>
    </rPh>
    <rPh sb="3" eb="5">
      <t>コスウ</t>
    </rPh>
    <rPh sb="6" eb="7">
      <t>タイ</t>
    </rPh>
    <rPh sb="9" eb="11">
      <t>ドウジ</t>
    </rPh>
    <rPh sb="11" eb="13">
      <t>シヨウ</t>
    </rPh>
    <rPh sb="13" eb="15">
      <t>バイリツ</t>
    </rPh>
    <rPh sb="16" eb="17">
      <t>ヒョウ</t>
    </rPh>
    <phoneticPr fontId="1"/>
  </si>
  <si>
    <t>水栓個数〔個〕</t>
    <rPh sb="0" eb="1">
      <t>ミズ</t>
    </rPh>
    <rPh sb="1" eb="2">
      <t>セン</t>
    </rPh>
    <rPh sb="2" eb="4">
      <t>コスウ</t>
    </rPh>
    <rPh sb="5" eb="6">
      <t>コ</t>
    </rPh>
    <phoneticPr fontId="1"/>
  </si>
  <si>
    <t>0</t>
    <phoneticPr fontId="1"/>
  </si>
  <si>
    <r>
      <t>■</t>
    </r>
    <r>
      <rPr>
        <sz val="9"/>
        <rFont val="ＭＳ Ｐゴシック"/>
        <family val="3"/>
        <charset val="128"/>
      </rPr>
      <t>許容流入流量及び許容オイル阻集量及び許容土砂たい積量</t>
    </r>
    <r>
      <rPr>
        <b/>
        <sz val="9"/>
        <color indexed="10"/>
        <rFont val="ＭＳ Ｐゴシック"/>
        <family val="3"/>
        <charset val="128"/>
      </rPr>
      <t>（表－３）</t>
    </r>
    <rPh sb="1" eb="3">
      <t>キョヨウ</t>
    </rPh>
    <rPh sb="9" eb="11">
      <t>キョヨウ</t>
    </rPh>
    <rPh sb="19" eb="21">
      <t>キョヨウ</t>
    </rPh>
    <rPh sb="28" eb="29">
      <t>ヒョウ</t>
    </rPh>
    <phoneticPr fontId="1"/>
  </si>
  <si>
    <t>槽容量〔〕</t>
    <rPh sb="0" eb="3">
      <t>ソウヨウリョウ</t>
    </rPh>
    <phoneticPr fontId="1"/>
  </si>
  <si>
    <t>許容流入流量〔〕</t>
    <rPh sb="0" eb="2">
      <t>キョヨウ</t>
    </rPh>
    <rPh sb="2" eb="4">
      <t>リュウニュウ</t>
    </rPh>
    <rPh sb="4" eb="6">
      <t>リュウリョウ</t>
    </rPh>
    <phoneticPr fontId="1"/>
  </si>
  <si>
    <t>許容オイル阻集量〔〕</t>
    <rPh sb="0" eb="2">
      <t>キョヨウ</t>
    </rPh>
    <rPh sb="5" eb="7">
      <t>ソシュウ</t>
    </rPh>
    <rPh sb="7" eb="8">
      <t>リョウ</t>
    </rPh>
    <phoneticPr fontId="1"/>
  </si>
  <si>
    <t>許容土砂たい積量〔〕</t>
    <rPh sb="0" eb="2">
      <t>キョヨウ</t>
    </rPh>
    <rPh sb="2" eb="4">
      <t>ドシャ</t>
    </rPh>
    <rPh sb="6" eb="7">
      <t>セキ</t>
    </rPh>
    <rPh sb="7" eb="8">
      <t>リョウ</t>
    </rPh>
    <phoneticPr fontId="1"/>
  </si>
  <si>
    <r>
      <t>Ｑ</t>
    </r>
    <r>
      <rPr>
        <vertAlign val="subscript"/>
        <sz val="10"/>
        <rFont val="ＭＳ Ｐゴシック"/>
        <family val="3"/>
        <charset val="128"/>
      </rPr>
      <t>ｍ１</t>
    </r>
    <r>
      <rPr>
        <sz val="10"/>
        <rFont val="ＭＳ Ｐゴシック"/>
        <family val="3"/>
        <charset val="128"/>
      </rPr>
      <t>＝</t>
    </r>
    <phoneticPr fontId="1"/>
  </si>
  <si>
    <r>
      <t>Ｑ</t>
    </r>
    <r>
      <rPr>
        <vertAlign val="subscript"/>
        <sz val="10"/>
        <rFont val="ＭＳ Ｐゴシック"/>
        <family val="3"/>
        <charset val="128"/>
      </rPr>
      <t>ｍ２</t>
    </r>
    <r>
      <rPr>
        <sz val="10"/>
        <rFont val="ＭＳ Ｐゴシック"/>
        <family val="3"/>
        <charset val="128"/>
      </rPr>
      <t>＝</t>
    </r>
    <phoneticPr fontId="1"/>
  </si>
  <si>
    <t>同時使用倍率 n1 n2〔倍〕</t>
    <rPh sb="0" eb="2">
      <t>ドウジ</t>
    </rPh>
    <rPh sb="2" eb="4">
      <t>シヨウ</t>
    </rPh>
    <rPh sb="4" eb="6">
      <t>バイリツ</t>
    </rPh>
    <rPh sb="13" eb="14">
      <t>バイ</t>
    </rPh>
    <phoneticPr fontId="1"/>
  </si>
  <si>
    <t>洗車機の排水量</t>
    <rPh sb="0" eb="2">
      <t>センシャ</t>
    </rPh>
    <rPh sb="2" eb="3">
      <t>キ</t>
    </rPh>
    <rPh sb="4" eb="6">
      <t>ハイスイ</t>
    </rPh>
    <rPh sb="6" eb="7">
      <t>リョウ</t>
    </rPh>
    <phoneticPr fontId="1"/>
  </si>
  <si>
    <t>水栓</t>
    <rPh sb="0" eb="1">
      <t>スイ</t>
    </rPh>
    <rPh sb="1" eb="2">
      <t>セン</t>
    </rPh>
    <phoneticPr fontId="1"/>
  </si>
  <si>
    <t>洗車機</t>
    <rPh sb="0" eb="3">
      <t>センシャキ</t>
    </rPh>
    <phoneticPr fontId="1"/>
  </si>
  <si>
    <t>安全率</t>
    <rPh sb="0" eb="2">
      <t>アンゼン</t>
    </rPh>
    <rPh sb="2" eb="3">
      <t>リツ</t>
    </rPh>
    <phoneticPr fontId="1"/>
  </si>
  <si>
    <t>２．オイル阻集量</t>
    <rPh sb="5" eb="7">
      <t>ソシュウ</t>
    </rPh>
    <rPh sb="7" eb="8">
      <t>リョウ</t>
    </rPh>
    <phoneticPr fontId="1"/>
  </si>
  <si>
    <t xml:space="preserve">[L] </t>
    <phoneticPr fontId="1"/>
  </si>
  <si>
    <t>ⅰ：</t>
    <phoneticPr fontId="1"/>
  </si>
  <si>
    <t>１日あたりの洗車台数</t>
    <phoneticPr fontId="1"/>
  </si>
  <si>
    <t>１台あたりのオイル量（標準値10）</t>
    <rPh sb="11" eb="14">
      <t>ヒョウジュンチ</t>
    </rPh>
    <phoneticPr fontId="1"/>
  </si>
  <si>
    <t>ⅰ＝</t>
    <phoneticPr fontId="1"/>
  </si>
  <si>
    <t>n＝</t>
    <phoneticPr fontId="1"/>
  </si>
  <si>
    <t>Ｏn＝</t>
    <phoneticPr fontId="1"/>
  </si>
  <si>
    <t xml:space="preserve">[g/台] </t>
    <rPh sb="3" eb="4">
      <t>ダイ</t>
    </rPh>
    <phoneticPr fontId="1"/>
  </si>
  <si>
    <t xml:space="preserve">[台/日] </t>
    <rPh sb="1" eb="2">
      <t>ダイ</t>
    </rPh>
    <phoneticPr fontId="1"/>
  </si>
  <si>
    <t xml:space="preserve">[日] </t>
    <phoneticPr fontId="1"/>
  </si>
  <si>
    <t>Ｏ＝</t>
    <phoneticPr fontId="1"/>
  </si>
  <si>
    <t>清掃周期</t>
    <rPh sb="0" eb="2">
      <t>セイソウ</t>
    </rPh>
    <rPh sb="2" eb="4">
      <t>シュウキ</t>
    </rPh>
    <phoneticPr fontId="1"/>
  </si>
  <si>
    <t>オイル量</t>
    <rPh sb="3" eb="4">
      <t>リョウ</t>
    </rPh>
    <phoneticPr fontId="1"/>
  </si>
  <si>
    <t>×</t>
    <phoneticPr fontId="1"/>
  </si>
  <si>
    <t>合計オイル量</t>
    <rPh sb="0" eb="2">
      <t>ゴウケイ</t>
    </rPh>
    <rPh sb="5" eb="6">
      <t>リョウ</t>
    </rPh>
    <phoneticPr fontId="1"/>
  </si>
  <si>
    <t>＝</t>
    <phoneticPr fontId="1"/>
  </si>
  <si>
    <t>清掃周期</t>
    <rPh sb="0" eb="2">
      <t>セイソウ</t>
    </rPh>
    <phoneticPr fontId="1"/>
  </si>
  <si>
    <t>清掃周期は当事者間の打合せによる　→</t>
    <phoneticPr fontId="1"/>
  </si>
  <si>
    <t>Ｓ＝</t>
    <phoneticPr fontId="1"/>
  </si>
  <si>
    <t>土砂量</t>
    <rPh sb="0" eb="2">
      <t>ドシャ</t>
    </rPh>
    <rPh sb="2" eb="3">
      <t>リョウ</t>
    </rPh>
    <phoneticPr fontId="1"/>
  </si>
  <si>
    <t>Ｓn：</t>
    <phoneticPr fontId="1"/>
  </si>
  <si>
    <t xml:space="preserve">[Ｌ/台] </t>
    <rPh sb="3" eb="4">
      <t>ダイ</t>
    </rPh>
    <phoneticPr fontId="1"/>
  </si>
  <si>
    <t>Ｓn＝</t>
    <phoneticPr fontId="1"/>
  </si>
  <si>
    <t>[L]　・・・③</t>
    <phoneticPr fontId="1"/>
  </si>
  <si>
    <t>４．機種選定</t>
    <rPh sb="4" eb="6">
      <t>センテイ</t>
    </rPh>
    <phoneticPr fontId="1"/>
  </si>
  <si>
    <t>③</t>
    <phoneticPr fontId="1"/>
  </si>
  <si>
    <t>流入流量　　　Q＝</t>
    <rPh sb="2" eb="3">
      <t>リュウ</t>
    </rPh>
    <phoneticPr fontId="1"/>
  </si>
  <si>
    <t>[L]</t>
    <phoneticPr fontId="1"/>
  </si>
  <si>
    <t xml:space="preserve"> </t>
    <phoneticPr fontId="1"/>
  </si>
  <si>
    <t xml:space="preserve"> 選定における計算は</t>
    <rPh sb="1" eb="3">
      <t>センテイ</t>
    </rPh>
    <rPh sb="7" eb="9">
      <t>ケイサン</t>
    </rPh>
    <phoneticPr fontId="1"/>
  </si>
  <si>
    <t xml:space="preserve"> に基づいています。</t>
    <rPh sb="2" eb="3">
      <t>モト</t>
    </rPh>
    <phoneticPr fontId="1"/>
  </si>
  <si>
    <t>許容土砂流入量(L)</t>
    <rPh sb="0" eb="2">
      <t>キョヨウ</t>
    </rPh>
    <rPh sb="2" eb="4">
      <t>ドシャ</t>
    </rPh>
    <rPh sb="4" eb="5">
      <t>リュウ</t>
    </rPh>
    <rPh sb="5" eb="6">
      <t>ニュウ</t>
    </rPh>
    <rPh sb="6" eb="7">
      <t>リョウ</t>
    </rPh>
    <phoneticPr fontId="8"/>
  </si>
  <si>
    <t>許容オイル阻集量(L)</t>
    <rPh sb="0" eb="2">
      <t>キョヨウ</t>
    </rPh>
    <rPh sb="5" eb="7">
      <t>ソシュウ</t>
    </rPh>
    <rPh sb="7" eb="8">
      <t>リョウ</t>
    </rPh>
    <phoneticPr fontId="8"/>
  </si>
  <si>
    <t>オイル阻集量</t>
    <rPh sb="3" eb="5">
      <t>ソシュウ</t>
    </rPh>
    <rPh sb="5" eb="6">
      <t>リョウ</t>
    </rPh>
    <phoneticPr fontId="1"/>
  </si>
  <si>
    <t>土砂堆積量</t>
    <rPh sb="0" eb="2">
      <t>ドシャ</t>
    </rPh>
    <rPh sb="2" eb="4">
      <t>タイセキ</t>
    </rPh>
    <rPh sb="4" eb="5">
      <t>リョウ</t>
    </rPh>
    <phoneticPr fontId="1"/>
  </si>
  <si>
    <t>最小値</t>
    <rPh sb="0" eb="2">
      <t>サイショウ</t>
    </rPh>
    <rPh sb="2" eb="3">
      <t>チ</t>
    </rPh>
    <phoneticPr fontId="1"/>
  </si>
  <si>
    <t>最大の流入流量</t>
    <rPh sb="0" eb="2">
      <t>サイダイ</t>
    </rPh>
    <rPh sb="3" eb="5">
      <t>リュウニュウ</t>
    </rPh>
    <rPh sb="5" eb="7">
      <t>リュウリョウ</t>
    </rPh>
    <phoneticPr fontId="1"/>
  </si>
  <si>
    <t>許容土砂流入量</t>
    <rPh sb="0" eb="2">
      <t>キョヨウ</t>
    </rPh>
    <rPh sb="2" eb="4">
      <t>ドシャ</t>
    </rPh>
    <rPh sb="4" eb="5">
      <t>リュウ</t>
    </rPh>
    <rPh sb="5" eb="6">
      <t>ニュウ</t>
    </rPh>
    <rPh sb="6" eb="7">
      <t>リョウ</t>
    </rPh>
    <phoneticPr fontId="1"/>
  </si>
  <si>
    <t>許容オイル阻集量</t>
    <rPh sb="0" eb="2">
      <t>キョヨウ</t>
    </rPh>
    <rPh sb="5" eb="7">
      <t>ソシュウ</t>
    </rPh>
    <rPh sb="7" eb="8">
      <t>リョウ</t>
    </rPh>
    <phoneticPr fontId="1"/>
  </si>
  <si>
    <t>土砂堆積量基準
での流入流量</t>
    <rPh sb="0" eb="2">
      <t>ドシャ</t>
    </rPh>
    <rPh sb="2" eb="4">
      <t>タイセキ</t>
    </rPh>
    <rPh sb="4" eb="5">
      <t>リョウ</t>
    </rPh>
    <rPh sb="5" eb="7">
      <t>キジュン</t>
    </rPh>
    <rPh sb="10" eb="12">
      <t>リュウニュウ</t>
    </rPh>
    <rPh sb="12" eb="14">
      <t>リュウリョウ</t>
    </rPh>
    <phoneticPr fontId="1"/>
  </si>
  <si>
    <t>オイル阻集量基準
での流入流量</t>
    <rPh sb="3" eb="5">
      <t>ソシュウ</t>
    </rPh>
    <rPh sb="5" eb="6">
      <t>リョウ</t>
    </rPh>
    <rPh sb="6" eb="8">
      <t>キジュン</t>
    </rPh>
    <rPh sb="11" eb="13">
      <t>リュウニュウ</t>
    </rPh>
    <rPh sb="13" eb="15">
      <t>リュウリョウ</t>
    </rPh>
    <phoneticPr fontId="1"/>
  </si>
  <si>
    <t>品番（自動選択）</t>
    <rPh sb="0" eb="2">
      <t>ヒンバン</t>
    </rPh>
    <rPh sb="3" eb="5">
      <t>ジドウ</t>
    </rPh>
    <rPh sb="5" eb="7">
      <t>センタク</t>
    </rPh>
    <phoneticPr fontId="1"/>
  </si>
  <si>
    <t>最大値との合致</t>
    <rPh sb="0" eb="3">
      <t>サイダイチ</t>
    </rPh>
    <rPh sb="5" eb="7">
      <t>ガッチ</t>
    </rPh>
    <phoneticPr fontId="1"/>
  </si>
  <si>
    <t>エラー有無のを
含めた選定</t>
    <rPh sb="3" eb="5">
      <t>ウム</t>
    </rPh>
    <rPh sb="8" eb="9">
      <t>フク</t>
    </rPh>
    <rPh sb="11" eb="13">
      <t>センテイ</t>
    </rPh>
    <phoneticPr fontId="1"/>
  </si>
  <si>
    <t>当事者間の打合せによる</t>
    <rPh sb="0" eb="3">
      <t>トウジシャ</t>
    </rPh>
    <rPh sb="3" eb="4">
      <t>カン</t>
    </rPh>
    <rPh sb="5" eb="7">
      <t>ウチアワ</t>
    </rPh>
    <phoneticPr fontId="1"/>
  </si>
  <si>
    <t>１台あたりの土砂量（標準値0.09）</t>
    <rPh sb="6" eb="8">
      <t>ドシャ</t>
    </rPh>
    <rPh sb="10" eb="13">
      <t>ヒョウジュンチ</t>
    </rPh>
    <phoneticPr fontId="1"/>
  </si>
  <si>
    <t>（大型車は0.36→）</t>
    <rPh sb="1" eb="3">
      <t>オオガタ</t>
    </rPh>
    <rPh sb="3" eb="4">
      <t>シャ</t>
    </rPh>
    <phoneticPr fontId="1"/>
  </si>
  <si>
    <t>（大型車は40→）</t>
    <rPh sb="1" eb="3">
      <t>オオガタ</t>
    </rPh>
    <rPh sb="3" eb="4">
      <t>シャ</t>
    </rPh>
    <phoneticPr fontId="1"/>
  </si>
  <si>
    <t>　　　 ここに表示された性能を有する機種が品番として表示されます。表示されない場合には条件を見直してください。</t>
    <rPh sb="7" eb="9">
      <t>ヒョウジ</t>
    </rPh>
    <rPh sb="12" eb="14">
      <t>セイノウ</t>
    </rPh>
    <rPh sb="15" eb="16">
      <t>ユウ</t>
    </rPh>
    <rPh sb="18" eb="20">
      <t>キシュ</t>
    </rPh>
    <rPh sb="21" eb="23">
      <t>ヒンバン</t>
    </rPh>
    <rPh sb="26" eb="28">
      <t>ヒョウジ</t>
    </rPh>
    <rPh sb="33" eb="35">
      <t>ヒョウジ</t>
    </rPh>
    <rPh sb="39" eb="41">
      <t>バアイ</t>
    </rPh>
    <rPh sb="43" eb="45">
      <t>ジョウケン</t>
    </rPh>
    <rPh sb="46" eb="48">
      <t>ミナオ</t>
    </rPh>
    <phoneticPr fontId="1"/>
  </si>
  <si>
    <t>時間最大雨量</t>
    <rPh sb="0" eb="2">
      <t>ジカン</t>
    </rPh>
    <rPh sb="2" eb="4">
      <t>サイダイ</t>
    </rPh>
    <rPh sb="4" eb="6">
      <t>ウリョウ</t>
    </rPh>
    <phoneticPr fontId="1"/>
  </si>
  <si>
    <t>mm/h</t>
    <phoneticPr fontId="1"/>
  </si>
  <si>
    <t>対象敷地面積</t>
    <rPh sb="0" eb="2">
      <t>タイショウ</t>
    </rPh>
    <rPh sb="2" eb="4">
      <t>シキチ</t>
    </rPh>
    <rPh sb="4" eb="6">
      <t>メンセキ</t>
    </rPh>
    <phoneticPr fontId="1"/>
  </si>
  <si>
    <r>
      <t>m</t>
    </r>
    <r>
      <rPr>
        <vertAlign val="superscript"/>
        <sz val="12"/>
        <color indexed="8"/>
        <rFont val="ＭＳ Ｐゴシック"/>
        <family val="3"/>
        <charset val="128"/>
      </rPr>
      <t>2</t>
    </r>
    <phoneticPr fontId="1"/>
  </si>
  <si>
    <t>敷地の全面積ではありませんのでご注意ください。</t>
    <rPh sb="0" eb="2">
      <t>シキチ</t>
    </rPh>
    <rPh sb="3" eb="6">
      <t>ゼンメンセキ</t>
    </rPh>
    <rPh sb="16" eb="18">
      <t>チュウイ</t>
    </rPh>
    <phoneticPr fontId="1"/>
  </si>
  <si>
    <t>←オイルトラップに雨水が流れ込む際に対象となる敷地面積です。</t>
    <rPh sb="9" eb="11">
      <t>ウスイ</t>
    </rPh>
    <rPh sb="12" eb="13">
      <t>ナガ</t>
    </rPh>
    <rPh sb="14" eb="15">
      <t>コ</t>
    </rPh>
    <rPh sb="16" eb="17">
      <t>サイ</t>
    </rPh>
    <rPh sb="18" eb="20">
      <t>タイショウ</t>
    </rPh>
    <rPh sb="23" eb="25">
      <t>シキチ</t>
    </rPh>
    <rPh sb="25" eb="27">
      <t>メンセキ</t>
    </rPh>
    <phoneticPr fontId="1"/>
  </si>
  <si>
    <r>
      <t>Ｑ</t>
    </r>
    <r>
      <rPr>
        <vertAlign val="subscript"/>
        <sz val="9"/>
        <rFont val="ＭＳ Ｐゴシック"/>
        <family val="3"/>
        <charset val="128"/>
      </rPr>
      <t>ｍ１</t>
    </r>
    <r>
      <rPr>
        <sz val="9"/>
        <rFont val="ＭＳ Ｐゴシック"/>
        <family val="3"/>
        <charset val="128"/>
      </rPr>
      <t>：</t>
    </r>
    <phoneticPr fontId="1"/>
  </si>
  <si>
    <r>
      <t>n</t>
    </r>
    <r>
      <rPr>
        <vertAlign val="subscript"/>
        <sz val="9"/>
        <rFont val="ＭＳ Ｐゴシック"/>
        <family val="3"/>
        <charset val="128"/>
      </rPr>
      <t>１</t>
    </r>
    <r>
      <rPr>
        <sz val="9"/>
        <rFont val="ＭＳ Ｐゴシック"/>
        <family val="3"/>
        <charset val="128"/>
      </rPr>
      <t>：</t>
    </r>
    <phoneticPr fontId="1"/>
  </si>
  <si>
    <r>
      <t>Ｑ</t>
    </r>
    <r>
      <rPr>
        <vertAlign val="subscript"/>
        <sz val="9"/>
        <rFont val="ＭＳ Ｐゴシック"/>
        <family val="3"/>
        <charset val="128"/>
      </rPr>
      <t>ｍ２</t>
    </r>
    <r>
      <rPr>
        <sz val="9"/>
        <rFont val="ＭＳ Ｐゴシック"/>
        <family val="3"/>
        <charset val="128"/>
      </rPr>
      <t>：</t>
    </r>
    <phoneticPr fontId="1"/>
  </si>
  <si>
    <r>
      <t>n</t>
    </r>
    <r>
      <rPr>
        <vertAlign val="subscript"/>
        <sz val="9"/>
        <rFont val="ＭＳ Ｐゴシック"/>
        <family val="3"/>
        <charset val="128"/>
      </rPr>
      <t>２</t>
    </r>
    <r>
      <rPr>
        <sz val="9"/>
        <rFont val="ＭＳ Ｐゴシック"/>
        <family val="3"/>
        <charset val="128"/>
      </rPr>
      <t>：</t>
    </r>
    <phoneticPr fontId="1"/>
  </si>
  <si>
    <t>Ｏn：</t>
    <phoneticPr fontId="1"/>
  </si>
  <si>
    <t>n：</t>
    <phoneticPr fontId="1"/>
  </si>
  <si>
    <r>
      <t>Ａ</t>
    </r>
    <r>
      <rPr>
        <sz val="9"/>
        <rFont val="ＭＳ Ｐゴシック"/>
        <family val="3"/>
        <charset val="128"/>
      </rPr>
      <t>：</t>
    </r>
    <phoneticPr fontId="1"/>
  </si>
  <si>
    <t xml:space="preserve">[L/min] </t>
    <phoneticPr fontId="1"/>
  </si>
  <si>
    <t xml:space="preserve">[mm/h] </t>
    <phoneticPr fontId="1"/>
  </si>
  <si>
    <r>
      <t>[m</t>
    </r>
    <r>
      <rPr>
        <vertAlign val="superscript"/>
        <sz val="9"/>
        <rFont val="ＭＳ Ｐゴシック"/>
        <family val="3"/>
        <charset val="128"/>
      </rPr>
      <t>2</t>
    </r>
    <r>
      <rPr>
        <sz val="9"/>
        <rFont val="ＭＳ Ｐゴシック"/>
        <family val="3"/>
        <charset val="128"/>
      </rPr>
      <t xml:space="preserve">] </t>
    </r>
    <phoneticPr fontId="1"/>
  </si>
  <si>
    <t>雨水の流入流量</t>
    <rPh sb="0" eb="2">
      <t>ウスイ</t>
    </rPh>
    <rPh sb="3" eb="5">
      <t>リュウニュウ</t>
    </rPh>
    <rPh sb="5" eb="7">
      <t>リュウリョウ</t>
    </rPh>
    <phoneticPr fontId="1"/>
  </si>
  <si>
    <r>
      <t>Ａ</t>
    </r>
    <r>
      <rPr>
        <sz val="10"/>
        <rFont val="ＭＳ Ｐゴシック"/>
        <family val="3"/>
        <charset val="128"/>
      </rPr>
      <t>＝</t>
    </r>
    <phoneticPr fontId="1"/>
  </si>
  <si>
    <t>雨水の合計流量</t>
    <rPh sb="0" eb="2">
      <t>ウスイ</t>
    </rPh>
    <rPh sb="3" eb="5">
      <t>ゴウケイ</t>
    </rPh>
    <rPh sb="5" eb="7">
      <t>リュウリョウ</t>
    </rPh>
    <phoneticPr fontId="1"/>
  </si>
  <si>
    <t>[L/min]　・・・②</t>
    <phoneticPr fontId="1"/>
  </si>
  <si>
    <t>雨水を考慮する場合に入力します。</t>
    <rPh sb="0" eb="2">
      <t>ウスイ</t>
    </rPh>
    <rPh sb="3" eb="5">
      <t>コウリョ</t>
    </rPh>
    <rPh sb="7" eb="9">
      <t>バアイ</t>
    </rPh>
    <rPh sb="10" eb="12">
      <t>ニュウリョク</t>
    </rPh>
    <phoneticPr fontId="1"/>
  </si>
  <si>
    <t>黄色で網掛けされた空欄を埋めてください。</t>
    <rPh sb="0" eb="2">
      <t>キイロ</t>
    </rPh>
    <rPh sb="3" eb="5">
      <t>アミカ</t>
    </rPh>
    <rPh sb="9" eb="11">
      <t>クウラン</t>
    </rPh>
    <rPh sb="12" eb="13">
      <t>ウ</t>
    </rPh>
    <phoneticPr fontId="1"/>
  </si>
  <si>
    <t>無い場合は[-]を選択</t>
    <rPh sb="0" eb="1">
      <t>ナ</t>
    </rPh>
    <rPh sb="2" eb="4">
      <t>バアイ</t>
    </rPh>
    <rPh sb="9" eb="11">
      <t>センタク</t>
    </rPh>
    <phoneticPr fontId="1"/>
  </si>
  <si>
    <t>例）駐車場、洗車場、給油所</t>
    <phoneticPr fontId="1"/>
  </si>
  <si>
    <t xml:space="preserve"> 　ここに</t>
    <phoneticPr fontId="1"/>
  </si>
  <si>
    <t>　 ここに</t>
    <phoneticPr fontId="1"/>
  </si>
  <si>
    <t>[L]　・・・④</t>
    <phoneticPr fontId="1"/>
  </si>
  <si>
    <t>①or②</t>
    <phoneticPr fontId="1"/>
  </si>
  <si>
    <t>④</t>
    <phoneticPr fontId="1"/>
  </si>
  <si>
    <t>※１　ご指定頂いた条件で予測される　【 ①or②流入流量　③オイル阻集量　④土砂堆積量 】を上回る機種のうち、最適なサイズの性能値です。</t>
    <rPh sb="33" eb="35">
      <t>ソシュウ</t>
    </rPh>
    <rPh sb="38" eb="40">
      <t>ドシャ</t>
    </rPh>
    <rPh sb="40" eb="42">
      <t>タイセキ</t>
    </rPh>
    <rPh sb="42" eb="43">
      <t>リョウ</t>
    </rPh>
    <rPh sb="46" eb="48">
      <t>ウワマワ</t>
    </rPh>
    <rPh sb="49" eb="51">
      <t>キシュ</t>
    </rPh>
    <rPh sb="55" eb="57">
      <t>サイテキ</t>
    </rPh>
    <phoneticPr fontId="1"/>
  </si>
  <si>
    <t>機種選定を行います。</t>
    <rPh sb="0" eb="2">
      <t>キシュ</t>
    </rPh>
    <rPh sb="2" eb="4">
      <t>センテイ</t>
    </rPh>
    <rPh sb="5" eb="6">
      <t>オコナ</t>
    </rPh>
    <phoneticPr fontId="1"/>
  </si>
  <si>
    <t xml:space="preserve">[L/min] </t>
    <phoneticPr fontId="1"/>
  </si>
  <si>
    <t xml:space="preserve">[倍] </t>
    <rPh sb="1" eb="2">
      <t>バイ</t>
    </rPh>
    <phoneticPr fontId="1"/>
  </si>
  <si>
    <t>←大型車が対象の場合、手入力で『40』を入力してください。</t>
    <rPh sb="1" eb="3">
      <t>オオガタ</t>
    </rPh>
    <rPh sb="3" eb="4">
      <t>シャ</t>
    </rPh>
    <rPh sb="5" eb="7">
      <t>タイショウ</t>
    </rPh>
    <rPh sb="8" eb="10">
      <t>バアイ</t>
    </rPh>
    <rPh sb="11" eb="12">
      <t>テ</t>
    </rPh>
    <rPh sb="12" eb="14">
      <t>ニュウリョク</t>
    </rPh>
    <rPh sb="20" eb="22">
      <t>ニュウリョク</t>
    </rPh>
    <phoneticPr fontId="1"/>
  </si>
  <si>
    <t>←大型車が対象の場合、手入力で『0.36』を入力してください。</t>
    <rPh sb="1" eb="3">
      <t>オオガタ</t>
    </rPh>
    <rPh sb="3" eb="4">
      <t>シャ</t>
    </rPh>
    <rPh sb="5" eb="7">
      <t>タイショウ</t>
    </rPh>
    <rPh sb="8" eb="10">
      <t>バアイ</t>
    </rPh>
    <rPh sb="11" eb="12">
      <t>テ</t>
    </rPh>
    <rPh sb="12" eb="14">
      <t>ニュウリョク</t>
    </rPh>
    <rPh sb="22" eb="24">
      <t>ニュウリョク</t>
    </rPh>
    <phoneticPr fontId="1"/>
  </si>
  <si>
    <t>日</t>
    <rPh sb="0" eb="1">
      <t>ニチ</t>
    </rPh>
    <phoneticPr fontId="1"/>
  </si>
  <si>
    <t>当該地域における降雨強度（㎜/h）に準拠してください。</t>
    <rPh sb="0" eb="2">
      <t>トウガイ</t>
    </rPh>
    <rPh sb="2" eb="4">
      <t>チイキ</t>
    </rPh>
    <rPh sb="8" eb="10">
      <t>コウウ</t>
    </rPh>
    <rPh sb="10" eb="12">
      <t>キョウド</t>
    </rPh>
    <rPh sb="17" eb="18">
      <t>ウリョウ</t>
    </rPh>
    <rPh sb="18" eb="20">
      <t>ジュンキョ</t>
    </rPh>
    <phoneticPr fontId="1"/>
  </si>
  <si>
    <t>不明な場合SHASE-206-2019の100(㎜/ｈ）を基準とします。</t>
    <rPh sb="0" eb="2">
      <t>フメイ</t>
    </rPh>
    <rPh sb="3" eb="5">
      <t>バアイ</t>
    </rPh>
    <rPh sb="29" eb="31">
      <t>キジュン</t>
    </rPh>
    <phoneticPr fontId="1"/>
  </si>
  <si>
    <t>門型洗車機等の据付型洗車機が対象</t>
    <rPh sb="0" eb="1">
      <t>モン</t>
    </rPh>
    <rPh sb="1" eb="2">
      <t>ガタ</t>
    </rPh>
    <rPh sb="2" eb="5">
      <t>センシャキ</t>
    </rPh>
    <rPh sb="5" eb="6">
      <t>トウ</t>
    </rPh>
    <rPh sb="7" eb="8">
      <t>ス</t>
    </rPh>
    <rPh sb="8" eb="9">
      <t>ツ</t>
    </rPh>
    <rPh sb="9" eb="10">
      <t>カタ</t>
    </rPh>
    <rPh sb="10" eb="13">
      <t>センシャキ</t>
    </rPh>
    <rPh sb="14" eb="16">
      <t>タイショウ</t>
    </rPh>
    <phoneticPr fontId="1"/>
  </si>
  <si>
    <t>仕様表によるか、不明な場合40L/minを入力</t>
    <rPh sb="0" eb="2">
      <t>シヨウ</t>
    </rPh>
    <rPh sb="2" eb="3">
      <t>ヒョウ</t>
    </rPh>
    <rPh sb="8" eb="10">
      <t>フメイ</t>
    </rPh>
    <rPh sb="11" eb="13">
      <t>バアイ</t>
    </rPh>
    <rPh sb="21" eb="23">
      <t>ニュウリョク</t>
    </rPh>
    <phoneticPr fontId="1"/>
  </si>
  <si>
    <t>水栓個数に対する同時使用倍率</t>
    <rPh sb="0" eb="2">
      <t>スイセン</t>
    </rPh>
    <rPh sb="2" eb="4">
      <t>コスウ</t>
    </rPh>
    <rPh sb="5" eb="6">
      <t>タイ</t>
    </rPh>
    <rPh sb="8" eb="10">
      <t>ドウジ</t>
    </rPh>
    <rPh sb="10" eb="12">
      <t>シヨウ</t>
    </rPh>
    <rPh sb="12" eb="14">
      <t>バイリツ</t>
    </rPh>
    <phoneticPr fontId="1"/>
  </si>
  <si>
    <t>水栓を使用する場合の流量</t>
    <rPh sb="0" eb="2">
      <t>スイセン</t>
    </rPh>
    <rPh sb="3" eb="5">
      <t>シヨウ</t>
    </rPh>
    <rPh sb="7" eb="9">
      <t>バアイ</t>
    </rPh>
    <rPh sb="10" eb="11">
      <t>リュウ</t>
    </rPh>
    <phoneticPr fontId="1"/>
  </si>
  <si>
    <t>洗車機台数</t>
    <rPh sb="0" eb="3">
      <t>センシャキ</t>
    </rPh>
    <rPh sb="3" eb="5">
      <t>ダイスウ</t>
    </rPh>
    <phoneticPr fontId="1"/>
  </si>
  <si>
    <t>平均流量に対して、使われ方，使用水圧などの相違を</t>
    <rPh sb="0" eb="2">
      <t>ヘイキン</t>
    </rPh>
    <rPh sb="2" eb="4">
      <t>リュウリョウ</t>
    </rPh>
    <rPh sb="5" eb="6">
      <t>タイ</t>
    </rPh>
    <rPh sb="9" eb="10">
      <t>ツカ</t>
    </rPh>
    <rPh sb="12" eb="13">
      <t>カタ</t>
    </rPh>
    <rPh sb="14" eb="16">
      <t>シヨウ</t>
    </rPh>
    <rPh sb="16" eb="18">
      <t>スイアツ</t>
    </rPh>
    <rPh sb="21" eb="23">
      <t>ソウイ</t>
    </rPh>
    <phoneticPr fontId="1"/>
  </si>
  <si>
    <t>時間最大雨量</t>
    <rPh sb="0" eb="2">
      <t>ジカン</t>
    </rPh>
    <rPh sb="2" eb="4">
      <t>サイダイ</t>
    </rPh>
    <rPh sb="4" eb="6">
      <t>ウリョウ</t>
    </rPh>
    <rPh sb="5" eb="6">
      <t>リョウ</t>
    </rPh>
    <phoneticPr fontId="1"/>
  </si>
  <si>
    <t xml:space="preserve">  　＝</t>
    <phoneticPr fontId="1"/>
  </si>
  <si>
    <t xml:space="preserve"> Ｒ（雨水の流入流量）＝Ｒs×Ａ÷６０</t>
    <rPh sb="3" eb="5">
      <t>ウスイ</t>
    </rPh>
    <rPh sb="6" eb="8">
      <t>リュウニュウ</t>
    </rPh>
    <rPh sb="8" eb="10">
      <t>リュウリョウ</t>
    </rPh>
    <phoneticPr fontId="1"/>
  </si>
  <si>
    <r>
      <t>Ｒ</t>
    </r>
    <r>
      <rPr>
        <vertAlign val="subscript"/>
        <sz val="9"/>
        <rFont val="ＭＳ Ｐゴシック"/>
        <family val="3"/>
        <charset val="128"/>
      </rPr>
      <t>Ｓ</t>
    </r>
    <r>
      <rPr>
        <sz val="9"/>
        <rFont val="ＭＳ Ｐゴシック"/>
        <family val="3"/>
        <charset val="128"/>
      </rPr>
      <t>：</t>
    </r>
    <phoneticPr fontId="1"/>
  </si>
  <si>
    <t>ＱとＲを比較し、値が大きい方を採用し</t>
    <rPh sb="4" eb="6">
      <t>ヒカク</t>
    </rPh>
    <rPh sb="8" eb="9">
      <t>アタイ</t>
    </rPh>
    <rPh sb="10" eb="11">
      <t>オオ</t>
    </rPh>
    <rPh sb="13" eb="14">
      <t>ホウ</t>
    </rPh>
    <rPh sb="15" eb="17">
      <t>サイヨウ</t>
    </rPh>
    <phoneticPr fontId="1"/>
  </si>
  <si>
    <t>Ｒ＝</t>
    <phoneticPr fontId="1"/>
  </si>
  <si>
    <r>
      <t>Ｒ</t>
    </r>
    <r>
      <rPr>
        <vertAlign val="subscript"/>
        <sz val="10"/>
        <rFont val="ＭＳ Ｐゴシック"/>
        <family val="3"/>
        <charset val="128"/>
      </rPr>
      <t>Ｓ</t>
    </r>
    <r>
      <rPr>
        <sz val="10"/>
        <rFont val="ＭＳ Ｐゴシック"/>
        <family val="3"/>
        <charset val="128"/>
      </rPr>
      <t>＝</t>
    </r>
    <phoneticPr fontId="1"/>
  </si>
  <si>
    <t>オイル阻集量　Ｇ＝</t>
    <rPh sb="3" eb="4">
      <t>ソ</t>
    </rPh>
    <rPh sb="4" eb="5">
      <t>シュウ</t>
    </rPh>
    <phoneticPr fontId="1"/>
  </si>
  <si>
    <t>許容オイル阻集量</t>
    <rPh sb="0" eb="2">
      <t>キョヨウ</t>
    </rPh>
    <rPh sb="5" eb="6">
      <t>ソ</t>
    </rPh>
    <rPh sb="6" eb="7">
      <t>シュウ</t>
    </rPh>
    <phoneticPr fontId="1"/>
  </si>
  <si>
    <t>１．最大流入流量</t>
    <rPh sb="2" eb="4">
      <t>サイダイ</t>
    </rPh>
    <phoneticPr fontId="1"/>
  </si>
  <si>
    <t>３．土砂たい積量</t>
    <rPh sb="2" eb="4">
      <t>ドシャ</t>
    </rPh>
    <rPh sb="7" eb="8">
      <t>リョウ</t>
    </rPh>
    <phoneticPr fontId="1"/>
  </si>
  <si>
    <t>許容土砂たい積量</t>
    <rPh sb="0" eb="2">
      <t>キョヨウ</t>
    </rPh>
    <rPh sb="2" eb="4">
      <t>ドシャ</t>
    </rPh>
    <rPh sb="7" eb="8">
      <t>リョウ</t>
    </rPh>
    <phoneticPr fontId="1"/>
  </si>
  <si>
    <t xml:space="preserve"> Ｏ（オイル阻集量）＝Ｏn×ｎ×ｉ×0.001</t>
    <rPh sb="6" eb="7">
      <t>ソ</t>
    </rPh>
    <rPh sb="7" eb="8">
      <t>シュウ</t>
    </rPh>
    <phoneticPr fontId="1"/>
  </si>
  <si>
    <t>オイル阻集量</t>
    <rPh sb="3" eb="4">
      <t>ソ</t>
    </rPh>
    <rPh sb="4" eb="5">
      <t>シュウ</t>
    </rPh>
    <phoneticPr fontId="1"/>
  </si>
  <si>
    <t xml:space="preserve"> Ｓ（土砂たい積量）＝Ｓn×ｎ×ｉ</t>
    <rPh sb="3" eb="5">
      <t>ドシャ</t>
    </rPh>
    <rPh sb="7" eb="8">
      <t>セキ</t>
    </rPh>
    <rPh sb="8" eb="9">
      <t>リョウ</t>
    </rPh>
    <phoneticPr fontId="1"/>
  </si>
  <si>
    <t>土砂たい積量</t>
    <rPh sb="0" eb="2">
      <t>ドシャ</t>
    </rPh>
    <rPh sb="4" eb="5">
      <t>セキ</t>
    </rPh>
    <phoneticPr fontId="1"/>
  </si>
  <si>
    <t>清掃周期は180日を最大とする。</t>
    <rPh sb="0" eb="2">
      <t>セイソウ</t>
    </rPh>
    <rPh sb="2" eb="4">
      <t>シュウキ</t>
    </rPh>
    <rPh sb="8" eb="9">
      <t>ニチ</t>
    </rPh>
    <rPh sb="10" eb="12">
      <t>サイダイ</t>
    </rPh>
    <phoneticPr fontId="1"/>
  </si>
  <si>
    <t xml:space="preserve"> SHASE-S206-2009</t>
    <phoneticPr fontId="1"/>
  </si>
  <si>
    <t xml:space="preserve"> 汚水の流入流量</t>
    <rPh sb="1" eb="3">
      <t>オスイ</t>
    </rPh>
    <rPh sb="4" eb="6">
      <t>リュウニュウ</t>
    </rPh>
    <rPh sb="6" eb="8">
      <t>リュウリョウ</t>
    </rPh>
    <phoneticPr fontId="1"/>
  </si>
  <si>
    <t>考慮した安全係数（標準値：10.0）</t>
    <rPh sb="0" eb="2">
      <t>コウリョ</t>
    </rPh>
    <rPh sb="4" eb="6">
      <t>アンゼン</t>
    </rPh>
    <rPh sb="6" eb="8">
      <t>ケイスウ</t>
    </rPh>
    <rPh sb="9" eb="11">
      <t>ヒョウジュン</t>
    </rPh>
    <rPh sb="11" eb="12">
      <t>チ</t>
    </rPh>
    <phoneticPr fontId="1"/>
  </si>
  <si>
    <t>K＝</t>
    <phoneticPr fontId="1"/>
  </si>
  <si>
    <t>土砂たい積量　S＝</t>
    <rPh sb="0" eb="2">
      <t>ドシャ</t>
    </rPh>
    <rPh sb="5" eb="6">
      <t>リョウ</t>
    </rPh>
    <phoneticPr fontId="1"/>
  </si>
  <si>
    <r>
      <t xml:space="preserve"> Ｑ（汚水の流入流量）＝｛（Ｑ</t>
    </r>
    <r>
      <rPr>
        <vertAlign val="subscript"/>
        <sz val="9"/>
        <rFont val="ＭＳ Ｐゴシック"/>
        <family val="3"/>
        <charset val="128"/>
      </rPr>
      <t>ｍ１</t>
    </r>
    <r>
      <rPr>
        <sz val="9"/>
        <rFont val="ＭＳ Ｐゴシック"/>
        <family val="3"/>
        <charset val="128"/>
      </rPr>
      <t>×ｎ</t>
    </r>
    <r>
      <rPr>
        <vertAlign val="subscript"/>
        <sz val="9"/>
        <rFont val="ＭＳ Ｐゴシック"/>
        <family val="3"/>
        <charset val="128"/>
      </rPr>
      <t>１</t>
    </r>
    <r>
      <rPr>
        <sz val="9"/>
        <rFont val="ＭＳ Ｐゴシック"/>
        <family val="3"/>
        <charset val="128"/>
      </rPr>
      <t>）＋（Ｑ</t>
    </r>
    <r>
      <rPr>
        <vertAlign val="subscript"/>
        <sz val="9"/>
        <rFont val="ＭＳ Ｐゴシック"/>
        <family val="3"/>
        <charset val="128"/>
      </rPr>
      <t>ｍ２</t>
    </r>
    <r>
      <rPr>
        <sz val="9"/>
        <rFont val="ＭＳ Ｐゴシック"/>
        <family val="3"/>
        <charset val="128"/>
      </rPr>
      <t>×ｎ</t>
    </r>
    <r>
      <rPr>
        <vertAlign val="subscript"/>
        <sz val="9"/>
        <rFont val="ＭＳ Ｐゴシック"/>
        <family val="3"/>
        <charset val="128"/>
      </rPr>
      <t>２</t>
    </r>
    <r>
      <rPr>
        <sz val="9"/>
        <rFont val="ＭＳ Ｐゴシック"/>
        <family val="3"/>
        <charset val="128"/>
      </rPr>
      <t>）｝×Ｋ</t>
    </r>
    <rPh sb="3" eb="5">
      <t>オスイ</t>
    </rPh>
    <rPh sb="6" eb="8">
      <t>リュウニュウ</t>
    </rPh>
    <rPh sb="8" eb="10">
      <t>リュウリョウ</t>
    </rPh>
    <phoneticPr fontId="1"/>
  </si>
  <si>
    <t>Ｋ：</t>
    <phoneticPr fontId="1"/>
  </si>
  <si>
    <t>GTS-45Sオイル</t>
    <phoneticPr fontId="1"/>
  </si>
  <si>
    <t>GTS-63Sオイル</t>
    <phoneticPr fontId="1"/>
  </si>
  <si>
    <t>GTS-82Sオイル</t>
    <phoneticPr fontId="1"/>
  </si>
  <si>
    <t>GTS-120Sオイル</t>
    <phoneticPr fontId="1"/>
  </si>
  <si>
    <t>GTS-131Sオイル</t>
    <phoneticPr fontId="1"/>
  </si>
  <si>
    <t>GTS-191Sオイル</t>
    <phoneticPr fontId="1"/>
  </si>
  <si>
    <t>GTS-45PDオイル</t>
    <phoneticPr fontId="1"/>
  </si>
  <si>
    <t>GTS-63PDオイル</t>
    <phoneticPr fontId="1"/>
  </si>
  <si>
    <t>GTS-82PDオイル</t>
    <phoneticPr fontId="1"/>
  </si>
  <si>
    <t>GTS-120PDオイル</t>
    <phoneticPr fontId="1"/>
  </si>
  <si>
    <t>GTS-131PDオイル</t>
    <phoneticPr fontId="1"/>
  </si>
  <si>
    <t>GTS-191PDオイル</t>
    <phoneticPr fontId="1"/>
  </si>
  <si>
    <t>GTS-45Pオイル</t>
    <phoneticPr fontId="1"/>
  </si>
  <si>
    <t>GTS-63Pオイル</t>
    <phoneticPr fontId="1"/>
  </si>
  <si>
    <t>GTS-82Pオイル</t>
    <phoneticPr fontId="1"/>
  </si>
  <si>
    <t>GTS-120Pオイル</t>
    <phoneticPr fontId="1"/>
  </si>
  <si>
    <t>GTS-131Pオイル</t>
    <phoneticPr fontId="1"/>
  </si>
  <si>
    <t>GTS-191Pオイル</t>
    <phoneticPr fontId="1"/>
  </si>
  <si>
    <t>GTS-600Pオイル</t>
    <phoneticPr fontId="1"/>
  </si>
  <si>
    <t>GTS-750Pオイル</t>
    <phoneticPr fontId="1"/>
  </si>
  <si>
    <t>GTS-191STオイル</t>
    <phoneticPr fontId="1"/>
  </si>
  <si>
    <t>GTS-131STオイル</t>
    <phoneticPr fontId="1"/>
  </si>
  <si>
    <t>GTS-120STオイル</t>
    <phoneticPr fontId="1"/>
  </si>
  <si>
    <t>GTS-82STオイル</t>
    <phoneticPr fontId="1"/>
  </si>
  <si>
    <t>GTS-63STオイル</t>
    <phoneticPr fontId="1"/>
  </si>
  <si>
    <t>GTS-45STオイル</t>
    <phoneticPr fontId="1"/>
  </si>
  <si>
    <t>GTS-45Fオイル</t>
    <phoneticPr fontId="1"/>
  </si>
  <si>
    <t>床置型</t>
    <rPh sb="0" eb="1">
      <t>ユカ</t>
    </rPh>
    <rPh sb="1" eb="2">
      <t>オ</t>
    </rPh>
    <rPh sb="2" eb="3">
      <t>カタ</t>
    </rPh>
    <phoneticPr fontId="1"/>
  </si>
  <si>
    <t>GTS-63Ｆオイル</t>
    <phoneticPr fontId="1"/>
  </si>
  <si>
    <t>GTS-82Ｆオイル</t>
    <phoneticPr fontId="1"/>
  </si>
  <si>
    <t>GTS-120Ｆオイル</t>
    <phoneticPr fontId="1"/>
  </si>
  <si>
    <t>GTS-131Ｆオイル</t>
    <phoneticPr fontId="1"/>
  </si>
  <si>
    <t>GTS-150Ｆオイル</t>
    <phoneticPr fontId="1"/>
  </si>
  <si>
    <t>GTS-191Ｆオイル</t>
    <phoneticPr fontId="1"/>
  </si>
  <si>
    <t>GTS-300Ｆオイル</t>
    <phoneticPr fontId="1"/>
  </si>
  <si>
    <t>mm</t>
    <phoneticPr fontId="1"/>
  </si>
  <si>
    <t>同時使用率</t>
    <rPh sb="0" eb="2">
      <t>ドウジ</t>
    </rPh>
    <rPh sb="2" eb="5">
      <t>シヨウリツ</t>
    </rPh>
    <phoneticPr fontId="1"/>
  </si>
  <si>
    <t>安全係数</t>
    <rPh sb="0" eb="2">
      <t>アンゼン</t>
    </rPh>
    <rPh sb="2" eb="4">
      <t>ケイスウ</t>
    </rPh>
    <phoneticPr fontId="1"/>
  </si>
  <si>
    <t>設置形態</t>
    <rPh sb="0" eb="2">
      <t>セッチ</t>
    </rPh>
    <rPh sb="2" eb="4">
      <t>ケイタイ</t>
    </rPh>
    <phoneticPr fontId="1"/>
  </si>
  <si>
    <t>　※この計算シートは、駐車場，洗車場，給油所，または雨水を流入させる使用用途向けににご使用ください。</t>
    <rPh sb="4" eb="6">
      <t>ケイサン</t>
    </rPh>
    <rPh sb="11" eb="13">
      <t>チュウシャ</t>
    </rPh>
    <rPh sb="13" eb="14">
      <t>ジョウ</t>
    </rPh>
    <rPh sb="15" eb="17">
      <t>センシャ</t>
    </rPh>
    <rPh sb="17" eb="18">
      <t>ジョウ</t>
    </rPh>
    <rPh sb="19" eb="21">
      <t>キュウユ</t>
    </rPh>
    <rPh sb="21" eb="22">
      <t>ジョ</t>
    </rPh>
    <rPh sb="26" eb="28">
      <t>ウスイ</t>
    </rPh>
    <rPh sb="29" eb="31">
      <t>リュウニュウ</t>
    </rPh>
    <rPh sb="34" eb="36">
      <t>シヨウ</t>
    </rPh>
    <rPh sb="36" eb="38">
      <t>ヨウト</t>
    </rPh>
    <rPh sb="38" eb="39">
      <t>ム</t>
    </rPh>
    <rPh sb="43" eb="45">
      <t>シヨウ</t>
    </rPh>
    <phoneticPr fontId="1"/>
  </si>
  <si>
    <t>オイルトラップ（駐車、洗車、雨水流入）</t>
    <rPh sb="8" eb="10">
      <t>チュウシャ</t>
    </rPh>
    <rPh sb="11" eb="13">
      <t>センシャ</t>
    </rPh>
    <rPh sb="14" eb="16">
      <t>ウスイ</t>
    </rPh>
    <rPh sb="16" eb="18">
      <t>リュウニュウ</t>
    </rPh>
    <phoneticPr fontId="1"/>
  </si>
  <si>
    <t>L／min</t>
    <phoneticPr fontId="1"/>
  </si>
  <si>
    <t>台／日</t>
    <rPh sb="0" eb="1">
      <t>ダイ</t>
    </rPh>
    <rPh sb="2" eb="3">
      <t>ヒ</t>
    </rPh>
    <phoneticPr fontId="1"/>
  </si>
  <si>
    <r>
      <t>n</t>
    </r>
    <r>
      <rPr>
        <vertAlign val="subscript"/>
        <sz val="10"/>
        <rFont val="ＭＳ Ｐゴシック"/>
        <family val="3"/>
        <charset val="128"/>
      </rPr>
      <t>１</t>
    </r>
    <r>
      <rPr>
        <sz val="10"/>
        <rFont val="ＭＳ Ｐゴシック"/>
        <family val="3"/>
        <charset val="128"/>
      </rPr>
      <t>＝　</t>
    </r>
    <phoneticPr fontId="1"/>
  </si>
  <si>
    <r>
      <t>n</t>
    </r>
    <r>
      <rPr>
        <vertAlign val="subscript"/>
        <sz val="10"/>
        <rFont val="ＭＳ Ｐゴシック"/>
        <family val="3"/>
        <charset val="128"/>
      </rPr>
      <t>２</t>
    </r>
    <r>
      <rPr>
        <sz val="10"/>
        <rFont val="ＭＳ Ｐゴシック"/>
        <family val="3"/>
        <charset val="128"/>
      </rPr>
      <t>＝　</t>
    </r>
    <phoneticPr fontId="1"/>
  </si>
  <si>
    <t>GTS-375PDオイル</t>
    <phoneticPr fontId="1"/>
  </si>
  <si>
    <t>GTS-375Pオイル</t>
    <phoneticPr fontId="1"/>
  </si>
  <si>
    <t>GTS-375Sオイル</t>
    <phoneticPr fontId="1"/>
  </si>
  <si>
    <t>GTS-375STオイル</t>
    <phoneticPr fontId="1"/>
  </si>
  <si>
    <t>GTS-375Ｆオイル</t>
    <phoneticPr fontId="1"/>
  </si>
  <si>
    <t>水栓個数からの算出シート削除。詳細下記。</t>
    <rPh sb="0" eb="4">
      <t>スイセンコスウ</t>
    </rPh>
    <rPh sb="7" eb="9">
      <t>サンシュツ</t>
    </rPh>
    <rPh sb="12" eb="14">
      <t>サクジョ</t>
    </rPh>
    <rPh sb="15" eb="17">
      <t>ショウサイ</t>
    </rPh>
    <rPh sb="17" eb="19">
      <t>カキ</t>
    </rPh>
    <phoneticPr fontId="1"/>
  </si>
  <si>
    <t>-</t>
    <phoneticPr fontId="1"/>
  </si>
  <si>
    <t>材質や設置形態等の組合せで製品が存在しない場合に</t>
    <rPh sb="0" eb="2">
      <t>ザイシツ</t>
    </rPh>
    <rPh sb="3" eb="5">
      <t>セッチ</t>
    </rPh>
    <rPh sb="5" eb="7">
      <t>ケイタイ</t>
    </rPh>
    <rPh sb="7" eb="8">
      <t>ナド</t>
    </rPh>
    <rPh sb="9" eb="11">
      <t>クミアワ</t>
    </rPh>
    <rPh sb="13" eb="15">
      <t>セイヒン</t>
    </rPh>
    <rPh sb="16" eb="18">
      <t>ソンザイ</t>
    </rPh>
    <rPh sb="21" eb="23">
      <t>バアイ</t>
    </rPh>
    <phoneticPr fontId="1"/>
  </si>
  <si>
    <t>→「当社規格外。設置形態等を見直して下さい。」と表示されるように改訂</t>
    <rPh sb="24" eb="26">
      <t>ヒョウジ</t>
    </rPh>
    <rPh sb="32" eb="34">
      <t>カイテイ</t>
    </rPh>
    <phoneticPr fontId="1"/>
  </si>
  <si>
    <t>店舗面積等で条件が見合わない場合に</t>
    <rPh sb="0" eb="2">
      <t>テンポ</t>
    </rPh>
    <rPh sb="2" eb="4">
      <t>メンセキ</t>
    </rPh>
    <rPh sb="4" eb="5">
      <t>ナド</t>
    </rPh>
    <rPh sb="6" eb="8">
      <t>ジョウケン</t>
    </rPh>
    <rPh sb="9" eb="11">
      <t>ミア</t>
    </rPh>
    <rPh sb="14" eb="16">
      <t>バアイ</t>
    </rPh>
    <phoneticPr fontId="1"/>
  </si>
  <si>
    <t>→「性能オーバーにつき、当社規格外」と表示されるように改訂</t>
    <rPh sb="19" eb="21">
      <t>ヒョウジ</t>
    </rPh>
    <rPh sb="27" eb="29">
      <t>カイテイ</t>
    </rPh>
    <phoneticPr fontId="1"/>
  </si>
  <si>
    <t>ver.6.2</t>
    <phoneticPr fontId="1"/>
  </si>
  <si>
    <t>ver.6.1</t>
    <phoneticPr fontId="1"/>
  </si>
  <si>
    <t>計算上</t>
    <rPh sb="0" eb="3">
      <t>ケイサンジョウ</t>
    </rPh>
    <phoneticPr fontId="1"/>
  </si>
  <si>
    <t>項目</t>
    <rPh sb="0" eb="2">
      <t>コウモク</t>
    </rPh>
    <phoneticPr fontId="8"/>
  </si>
  <si>
    <t>計算方法</t>
    <rPh sb="0" eb="4">
      <t>ケイサンホウホウ</t>
    </rPh>
    <phoneticPr fontId="8"/>
  </si>
  <si>
    <t>備考</t>
    <rPh sb="0" eb="2">
      <t>ビコウ</t>
    </rPh>
    <phoneticPr fontId="8"/>
  </si>
  <si>
    <t>グリーストラップ</t>
    <phoneticPr fontId="8"/>
  </si>
  <si>
    <t>許容流入流量</t>
    <rPh sb="0" eb="6">
      <t>キョヨウリュウニュウリュウリョウ</t>
    </rPh>
    <phoneticPr fontId="8"/>
  </si>
  <si>
    <t>容量の75%</t>
    <rPh sb="0" eb="2">
      <t>ヨウリョウ</t>
    </rPh>
    <phoneticPr fontId="8"/>
  </si>
  <si>
    <t>HASS217-1999より。</t>
    <phoneticPr fontId="8"/>
  </si>
  <si>
    <t>標準阻集グリース質量</t>
    <rPh sb="0" eb="2">
      <t>ヒョウジュン</t>
    </rPh>
    <rPh sb="2" eb="4">
      <t>ソシュウ</t>
    </rPh>
    <rPh sb="8" eb="10">
      <t>シツリョウ</t>
    </rPh>
    <phoneticPr fontId="8"/>
  </si>
  <si>
    <t>許容流入流量×0.332</t>
    <rPh sb="0" eb="2">
      <t>キョヨウ</t>
    </rPh>
    <rPh sb="2" eb="4">
      <t>リュウニュウ</t>
    </rPh>
    <rPh sb="4" eb="6">
      <t>リュウリョウ</t>
    </rPh>
    <phoneticPr fontId="8"/>
  </si>
  <si>
    <t>SHASE-S217-2016より。2008年規格では0.315。</t>
    <rPh sb="22" eb="23">
      <t>ネン</t>
    </rPh>
    <rPh sb="23" eb="25">
      <t>キカク</t>
    </rPh>
    <phoneticPr fontId="8"/>
  </si>
  <si>
    <t>オイルトラップ</t>
    <phoneticPr fontId="8"/>
  </si>
  <si>
    <t>グリーストラップと同じ考え。</t>
    <rPh sb="9" eb="10">
      <t>オナ</t>
    </rPh>
    <rPh sb="11" eb="12">
      <t>カンガ</t>
    </rPh>
    <phoneticPr fontId="8"/>
  </si>
  <si>
    <t>許容オイル阻集量</t>
    <rPh sb="0" eb="2">
      <t>キョヨウ</t>
    </rPh>
    <rPh sb="5" eb="7">
      <t>ソシュウ</t>
    </rPh>
    <rPh sb="7" eb="8">
      <t>リョウ</t>
    </rPh>
    <phoneticPr fontId="8"/>
  </si>
  <si>
    <t>標準阻集グリース質量の20％</t>
    <phoneticPr fontId="8"/>
  </si>
  <si>
    <t>許容土砂堆積量</t>
    <phoneticPr fontId="8"/>
  </si>
  <si>
    <t>標準阻集グリース質量の80％</t>
    <phoneticPr fontId="8"/>
  </si>
  <si>
    <t>流量 Q1 〔L／ｍｉｎ〕</t>
    <rPh sb="0" eb="2">
      <t>リュウリョウ</t>
    </rPh>
    <phoneticPr fontId="1"/>
  </si>
  <si>
    <t>許容流入流量〔L〕</t>
    <rPh sb="0" eb="2">
      <t>キョヨウ</t>
    </rPh>
    <rPh sb="2" eb="4">
      <t>リュウニュウ</t>
    </rPh>
    <rPh sb="4" eb="6">
      <t>リュウリョウ</t>
    </rPh>
    <phoneticPr fontId="1"/>
  </si>
  <si>
    <t>許容オイル阻集量〔L〕</t>
    <rPh sb="0" eb="2">
      <t>キョヨウ</t>
    </rPh>
    <rPh sb="5" eb="7">
      <t>ソシュウ</t>
    </rPh>
    <rPh sb="7" eb="8">
      <t>リョウ</t>
    </rPh>
    <phoneticPr fontId="1"/>
  </si>
  <si>
    <t>許容土砂たい積量〔L〕</t>
    <rPh sb="0" eb="2">
      <t>キョヨウ</t>
    </rPh>
    <rPh sb="2" eb="4">
      <t>ドシャ</t>
    </rPh>
    <rPh sb="6" eb="7">
      <t>セキ</t>
    </rPh>
    <rPh sb="7" eb="8">
      <t>リョウ</t>
    </rPh>
    <phoneticPr fontId="1"/>
  </si>
  <si>
    <t>標準阻集グリース質量〔kg〕
（定数0.332）</t>
    <rPh sb="0" eb="2">
      <t>ヒョウジュン</t>
    </rPh>
    <rPh sb="2" eb="4">
      <t>ソシュウ</t>
    </rPh>
    <rPh sb="8" eb="10">
      <t>シツリョウ</t>
    </rPh>
    <rPh sb="16" eb="18">
      <t>テイスウ</t>
    </rPh>
    <phoneticPr fontId="1"/>
  </si>
  <si>
    <t>カタログ及び本ソフト計算上</t>
    <rPh sb="4" eb="5">
      <t>オヨ</t>
    </rPh>
    <rPh sb="6" eb="7">
      <t>ホン</t>
    </rPh>
    <rPh sb="10" eb="13">
      <t>ケイサンジョウ</t>
    </rPh>
    <phoneticPr fontId="1"/>
  </si>
  <si>
    <t>　　　↑400上市されたら廃番</t>
    <rPh sb="7" eb="9">
      <t>ジョウシ</t>
    </rPh>
    <rPh sb="13" eb="15">
      <t>ハイバン</t>
    </rPh>
    <phoneticPr fontId="1"/>
  </si>
  <si>
    <t>容量の75%　※</t>
    <rPh sb="0" eb="2">
      <t>ヨウリョウ</t>
    </rPh>
    <phoneticPr fontId="8"/>
  </si>
  <si>
    <t>※現行規格には記載なく、許容流入流量は試験時の流量とする。</t>
    <rPh sb="1" eb="3">
      <t>ゲンコウ</t>
    </rPh>
    <rPh sb="3" eb="5">
      <t>キカク</t>
    </rPh>
    <rPh sb="7" eb="9">
      <t>キサイ</t>
    </rPh>
    <rPh sb="12" eb="18">
      <t>キョヨウリュウニュウリュウリョウ</t>
    </rPh>
    <rPh sb="19" eb="22">
      <t>シケンジ</t>
    </rPh>
    <rPh sb="23" eb="25">
      <t>リュウリョウ</t>
    </rPh>
    <phoneticPr fontId="1"/>
  </si>
  <si>
    <t>槽容量〔L〕</t>
    <rPh sb="0" eb="3">
      <t>ソウヨウリョウ</t>
    </rPh>
    <phoneticPr fontId="1"/>
  </si>
  <si>
    <t>sheetデータの表３を改訂</t>
    <rPh sb="9" eb="10">
      <t>ヒョウ</t>
    </rPh>
    <rPh sb="12" eb="14">
      <t>カイテイ</t>
    </rPh>
    <phoneticPr fontId="1"/>
  </si>
  <si>
    <t>開発部でのみ使用するsheetであることと計算上は何も変わらない為、ver6.2のまま</t>
    <rPh sb="0" eb="2">
      <t>カイハツ</t>
    </rPh>
    <rPh sb="2" eb="3">
      <t>ブ</t>
    </rPh>
    <rPh sb="6" eb="8">
      <t>シヨウ</t>
    </rPh>
    <rPh sb="21" eb="23">
      <t>ケイサン</t>
    </rPh>
    <rPh sb="23" eb="24">
      <t>ジョウ</t>
    </rPh>
    <rPh sb="25" eb="26">
      <t>ナニ</t>
    </rPh>
    <rPh sb="27" eb="28">
      <t>カ</t>
    </rPh>
    <rPh sb="32" eb="33">
      <t>タメ</t>
    </rPh>
    <phoneticPr fontId="1"/>
  </si>
  <si>
    <t>2023.3.13堺谷</t>
    <rPh sb="9" eb="11">
      <t>サカイタニ</t>
    </rPh>
    <phoneticPr fontId="1"/>
  </si>
  <si>
    <r>
      <rPr>
        <sz val="10"/>
        <color rgb="FFFF0000"/>
        <rFont val="ＭＳ Ｐゴシック"/>
        <family val="3"/>
        <charset val="128"/>
      </rPr>
      <t>赤字</t>
    </r>
    <r>
      <rPr>
        <sz val="10"/>
        <rFont val="ＭＳ Ｐゴシック"/>
        <family val="1"/>
        <charset val="128"/>
      </rPr>
      <t>：試験時の流量。容量の75％ではない。</t>
    </r>
    <rPh sb="0" eb="2">
      <t>アカジ</t>
    </rPh>
    <rPh sb="3" eb="5">
      <t>シケン</t>
    </rPh>
    <rPh sb="5" eb="6">
      <t>ジ</t>
    </rPh>
    <rPh sb="7" eb="9">
      <t>リュウリョウ</t>
    </rPh>
    <rPh sb="10" eb="12">
      <t>ヨウリョウ</t>
    </rPh>
    <phoneticPr fontId="1"/>
  </si>
  <si>
    <t>改訂前の表３は右記の通り</t>
    <rPh sb="0" eb="3">
      <t>カイテイマエ</t>
    </rPh>
    <rPh sb="4" eb="5">
      <t>ヒョウ</t>
    </rPh>
    <rPh sb="7" eb="9">
      <t>ウキ</t>
    </rPh>
    <rPh sb="10" eb="11">
      <t>トオ</t>
    </rPh>
    <phoneticPr fontId="1"/>
  </si>
  <si>
    <t>ver.6.3</t>
    <phoneticPr fontId="1"/>
  </si>
  <si>
    <t>GT-N320Pオイル</t>
    <phoneticPr fontId="1"/>
  </si>
  <si>
    <t>GT-N400Pオイル</t>
    <phoneticPr fontId="1"/>
  </si>
  <si>
    <t>GT-N320P追加、GT-N375PをGT-N400Pに置き換え</t>
    <rPh sb="8" eb="10">
      <t>ツイカ</t>
    </rPh>
    <rPh sb="29" eb="30">
      <t>オ</t>
    </rPh>
    <rPh sb="31" eb="32">
      <t>カ</t>
    </rPh>
    <phoneticPr fontId="1"/>
  </si>
  <si>
    <t>改訂日:2023/10/23</t>
    <phoneticPr fontId="1"/>
  </si>
  <si>
    <t>ver.6.4</t>
    <phoneticPr fontId="1"/>
  </si>
  <si>
    <t>４．機種選定の③オイル阻集量及び④土砂たい積量の単位を[kg]から[Ｌ]に修正。</t>
    <rPh sb="2" eb="6">
      <t>キシュセンテイ</t>
    </rPh>
    <rPh sb="11" eb="14">
      <t>ソシュウリョウ</t>
    </rPh>
    <rPh sb="14" eb="15">
      <t>オヨ</t>
    </rPh>
    <rPh sb="17" eb="19">
      <t>ドシャ</t>
    </rPh>
    <rPh sb="22" eb="23">
      <t>リョウ</t>
    </rPh>
    <rPh sb="24" eb="26">
      <t>タンイ</t>
    </rPh>
    <rPh sb="37" eb="39">
      <t>シュウセイ</t>
    </rPh>
    <phoneticPr fontId="1"/>
  </si>
  <si>
    <t>GT-Bシリーズへ切替</t>
    <rPh sb="9" eb="11">
      <t>キリカエ</t>
    </rPh>
    <phoneticPr fontId="1"/>
  </si>
  <si>
    <t>ver.6.5</t>
    <phoneticPr fontId="1"/>
  </si>
  <si>
    <t>GT-N1125Pオイル</t>
    <phoneticPr fontId="1"/>
  </si>
  <si>
    <t>GT-N750Pオイル</t>
    <phoneticPr fontId="1"/>
  </si>
  <si>
    <t>GT-N562Pオイル</t>
    <phoneticPr fontId="1"/>
  </si>
  <si>
    <t>GT-N225Pオイル</t>
    <phoneticPr fontId="1"/>
  </si>
  <si>
    <t>GT-N187Pオイル</t>
    <phoneticPr fontId="1"/>
  </si>
  <si>
    <t>GT-N150Pオイル</t>
    <phoneticPr fontId="1"/>
  </si>
  <si>
    <t>GTC-N150Pオイル</t>
    <phoneticPr fontId="1"/>
  </si>
  <si>
    <t>GT-N112Pオイル</t>
    <phoneticPr fontId="1"/>
  </si>
  <si>
    <t>GTC-N75Pオイル</t>
    <phoneticPr fontId="1"/>
  </si>
  <si>
    <t>GTC-N60Pオイル</t>
    <phoneticPr fontId="1"/>
  </si>
  <si>
    <t>GTC-N37Pオイル</t>
    <phoneticPr fontId="1"/>
  </si>
  <si>
    <t>GT-B75Pオイル</t>
    <phoneticPr fontId="1"/>
  </si>
  <si>
    <t>GT-B60Pオイル</t>
    <phoneticPr fontId="1"/>
  </si>
  <si>
    <t>GT-B37Pオイル</t>
    <phoneticPr fontId="1"/>
  </si>
  <si>
    <t>青文字　2021.09.07改訂　許容流入流量に変更。ＳＵＳ製352→375に変更
赤文字　2025.04.01改訂　GT-B37～75切替</t>
    <rPh sb="0" eb="1">
      <t>アオ</t>
    </rPh>
    <rPh sb="1" eb="3">
      <t>モジ</t>
    </rPh>
    <rPh sb="14" eb="16">
      <t>カイテイ</t>
    </rPh>
    <rPh sb="17" eb="19">
      <t>キョヨウ</t>
    </rPh>
    <rPh sb="19" eb="23">
      <t>リュウニュウリュウリョウ</t>
    </rPh>
    <rPh sb="24" eb="26">
      <t>ヘンコウ</t>
    </rPh>
    <rPh sb="30" eb="31">
      <t>セイ</t>
    </rPh>
    <rPh sb="39" eb="41">
      <t>ヘンコウ</t>
    </rPh>
    <rPh sb="42" eb="43">
      <t>アカ</t>
    </rPh>
    <rPh sb="43" eb="45">
      <t>モジ</t>
    </rPh>
    <rPh sb="56" eb="58">
      <t>カイテイ</t>
    </rPh>
    <rPh sb="68" eb="70">
      <t>キリカエ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</si>
</sst>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_ "/>
    <numFmt numFmtId="177" formatCode="0.0;[Red]0.0"/>
    <numFmt numFmtId="178" formatCode="yyyy&quot;年&quot;m&quot;月&quot;d&quot;日&quot;;@"/>
    <numFmt numFmtId="179" formatCode="0.0_);[Red]\(0.0\)"/>
    <numFmt numFmtId="180" formatCode="0_);[Red]\(0\)"/>
    <numFmt numFmtId="181" formatCode="0_ "/>
    <numFmt numFmtId="182" formatCode="0.00_ "/>
    <numFmt numFmtId="183" formatCode="0.00_);[Red]\(0.00\)"/>
    <numFmt numFmtId="184" formatCode="0.0000_ "/>
  </numFmts>
  <fonts count="34">
    <font>
      <sz val="11"/>
      <name val="ＭＳ Ｐゴシック"/>
      <family val="3"/>
      <charset val="128"/>
    </font>
    <font>
      <sz val="6"/>
      <name val="ＭＳ Ｐゴシック"/>
      <family val="3"/>
      <charset val="128"/>
    </font>
    <font>
      <sz val="12"/>
      <name val="ＭＳ Ｐゴシック"/>
      <family val="3"/>
      <charset val="128"/>
    </font>
    <font>
      <sz val="9"/>
      <name val="ＭＳ Ｐゴシック"/>
      <family val="3"/>
      <charset val="128"/>
    </font>
    <font>
      <sz val="10"/>
      <name val="ＭＳ Ｐゴシック"/>
      <family val="3"/>
      <charset val="128"/>
    </font>
    <font>
      <sz val="12"/>
      <color indexed="8"/>
      <name val="ＭＳ Ｐゴシック"/>
      <family val="3"/>
      <charset val="128"/>
    </font>
    <font>
      <sz val="14"/>
      <name val="ＭＳ Ｐゴシック"/>
      <family val="3"/>
      <charset val="128"/>
    </font>
    <font>
      <sz val="11"/>
      <color indexed="12"/>
      <name val="ＭＳ Ｐゴシック"/>
      <family val="3"/>
      <charset val="128"/>
    </font>
    <font>
      <sz val="6"/>
      <name val="ＭＳ Ｐゴシック"/>
      <family val="2"/>
      <charset val="128"/>
      <scheme val="minor"/>
    </font>
    <font>
      <b/>
      <sz val="18"/>
      <color indexed="12"/>
      <name val="ＭＳ Ｐゴシック"/>
      <family val="3"/>
    </font>
    <font>
      <vertAlign val="subscript"/>
      <sz val="10"/>
      <name val="ＭＳ Ｐゴシック"/>
      <family val="3"/>
      <charset val="128"/>
    </font>
    <font>
      <sz val="11"/>
      <color theme="1"/>
      <name val="ＭＳ Ｐゴシック"/>
      <family val="3"/>
      <charset val="128"/>
      <scheme val="minor"/>
    </font>
    <font>
      <b/>
      <sz val="12"/>
      <color indexed="81"/>
      <name val="ＭＳ Ｐゴシック"/>
      <family val="3"/>
      <charset val="128"/>
    </font>
    <font>
      <sz val="22"/>
      <name val="ＭＳ Ｐゴシック"/>
      <family val="3"/>
      <charset val="128"/>
    </font>
    <font>
      <sz val="13"/>
      <name val="ＭＳ Ｐゴシック"/>
      <family val="3"/>
      <charset val="128"/>
    </font>
    <font>
      <sz val="9"/>
      <color indexed="10"/>
      <name val="ＭＳ Ｐゴシック"/>
      <family val="3"/>
      <charset val="128"/>
    </font>
    <font>
      <b/>
      <sz val="9"/>
      <color indexed="10"/>
      <name val="ＭＳ Ｐゴシック"/>
      <family val="3"/>
      <charset val="128"/>
    </font>
    <font>
      <sz val="9"/>
      <name val="ＭＳ Ｐゴシック"/>
      <family val="1"/>
      <charset val="128"/>
    </font>
    <font>
      <sz val="10"/>
      <name val="ＭＳ Ｐゴシック"/>
      <family val="1"/>
      <charset val="128"/>
    </font>
    <font>
      <b/>
      <sz val="18"/>
      <color rgb="FFFF0000"/>
      <name val="ＭＳ Ｐゴシック"/>
      <family val="3"/>
    </font>
    <font>
      <sz val="10"/>
      <color rgb="FFFF0000"/>
      <name val="ＭＳ Ｐゴシック"/>
      <family val="3"/>
      <charset val="128"/>
    </font>
    <font>
      <sz val="10"/>
      <color theme="1"/>
      <name val="ＭＳ Ｐゴシック"/>
      <family val="3"/>
      <charset val="128"/>
    </font>
    <font>
      <sz val="11"/>
      <color rgb="FFFF0000"/>
      <name val="ＭＳ Ｐゴシック"/>
      <family val="3"/>
      <charset val="128"/>
    </font>
    <font>
      <vertAlign val="superscript"/>
      <sz val="12"/>
      <color indexed="8"/>
      <name val="ＭＳ Ｐゴシック"/>
      <family val="3"/>
      <charset val="128"/>
    </font>
    <font>
      <vertAlign val="subscript"/>
      <sz val="9"/>
      <name val="ＭＳ Ｐゴシック"/>
      <family val="3"/>
      <charset val="128"/>
    </font>
    <font>
      <vertAlign val="superscript"/>
      <sz val="9"/>
      <name val="ＭＳ Ｐゴシック"/>
      <family val="3"/>
      <charset val="128"/>
    </font>
    <font>
      <b/>
      <sz val="18"/>
      <color rgb="FF0000FF"/>
      <name val="ＭＳ Ｐゴシック"/>
      <family val="3"/>
    </font>
    <font>
      <sz val="9"/>
      <color rgb="FF0000FF"/>
      <name val="ＭＳ Ｐゴシック"/>
      <family val="3"/>
      <charset val="128"/>
    </font>
    <font>
      <sz val="12"/>
      <color theme="1"/>
      <name val="ＭＳ Ｐゴシック"/>
      <family val="3"/>
      <charset val="128"/>
    </font>
    <font>
      <sz val="11"/>
      <color rgb="FF0000FF"/>
      <name val="ＭＳ Ｐゴシック"/>
      <family val="3"/>
      <charset val="128"/>
    </font>
    <font>
      <sz val="11"/>
      <color theme="1"/>
      <name val="ＭＳ Ｐゴシック"/>
      <family val="3"/>
      <charset val="128"/>
    </font>
    <font>
      <b/>
      <sz val="14"/>
      <color rgb="FFFF0000"/>
      <name val="ＭＳ Ｐゴシック"/>
      <family val="3"/>
      <charset val="128"/>
    </font>
    <font>
      <b/>
      <sz val="9"/>
      <color indexed="81"/>
      <name val="MS P ゴシック"/>
      <family val="3"/>
      <charset val="128"/>
    </font>
    <font>
      <sz val="9"/>
      <color rgb="FFFF0000"/>
      <name val="ＭＳ Ｐゴシック"/>
      <family val="3"/>
      <charset val="128"/>
    </font>
  </fonts>
  <fills count="19">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9"/>
        <bgColor indexed="8"/>
      </patternFill>
    </fill>
    <fill>
      <patternFill patternType="solid">
        <fgColor rgb="FFFFFF0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
      <patternFill patternType="solid">
        <fgColor indexed="42"/>
        <bgColor indexed="64"/>
      </patternFill>
    </fill>
    <fill>
      <patternFill patternType="solid">
        <fgColor indexed="47"/>
        <bgColor indexed="26"/>
      </patternFill>
    </fill>
    <fill>
      <patternFill patternType="solid">
        <fgColor indexed="43"/>
        <bgColor indexed="64"/>
      </patternFill>
    </fill>
    <fill>
      <patternFill patternType="solid">
        <fgColor indexed="47"/>
        <bgColor indexed="64"/>
      </patternFill>
    </fill>
    <fill>
      <patternFill patternType="solid">
        <fgColor rgb="FFCCFFFF"/>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9" tint="0.59999389629810485"/>
        <bgColor indexed="64"/>
      </patternFill>
    </fill>
  </fills>
  <borders count="63">
    <border>
      <left/>
      <right/>
      <top/>
      <bottom/>
      <diagonal/>
    </border>
    <border>
      <left style="medium">
        <color indexed="8"/>
      </left>
      <right/>
      <top/>
      <bottom/>
      <diagonal/>
    </border>
    <border>
      <left/>
      <right/>
      <top/>
      <bottom style="medium">
        <color indexed="8"/>
      </bottom>
      <diagonal/>
    </border>
    <border>
      <left/>
      <right style="medium">
        <color indexed="8"/>
      </right>
      <top/>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64"/>
      </left>
      <right style="thin">
        <color indexed="64"/>
      </right>
      <top style="thin">
        <color indexed="64"/>
      </top>
      <bottom style="thin">
        <color indexed="64"/>
      </bottom>
      <diagonal/>
    </border>
    <border>
      <left style="medium">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hair">
        <color auto="1"/>
      </top>
      <bottom style="hair">
        <color auto="1"/>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right/>
      <top style="medium">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medium">
        <color indexed="8"/>
      </right>
      <top style="medium">
        <color indexed="8"/>
      </top>
      <bottom style="hair">
        <color indexed="8"/>
      </bottom>
      <diagonal/>
    </border>
    <border>
      <left style="medium">
        <color indexed="8"/>
      </left>
      <right/>
      <top/>
      <bottom style="hair">
        <color indexed="8"/>
      </bottom>
      <diagonal/>
    </border>
    <border>
      <left/>
      <right/>
      <top/>
      <bottom style="hair">
        <color indexed="8"/>
      </bottom>
      <diagonal/>
    </border>
    <border>
      <left/>
      <right style="medium">
        <color indexed="8"/>
      </right>
      <top/>
      <bottom style="hair">
        <color indexed="8"/>
      </bottom>
      <diagonal/>
    </border>
    <border>
      <left/>
      <right style="hair">
        <color indexed="8"/>
      </right>
      <top style="medium">
        <color indexed="8"/>
      </top>
      <bottom style="hair">
        <color indexed="8"/>
      </bottom>
      <diagonal/>
    </border>
    <border>
      <left/>
      <right style="hair">
        <color indexed="8"/>
      </right>
      <top/>
      <bottom/>
      <diagonal/>
    </border>
    <border>
      <left/>
      <right style="hair">
        <color indexed="8"/>
      </right>
      <top/>
      <bottom style="hair">
        <color indexed="8"/>
      </bottom>
      <diagonal/>
    </border>
    <border>
      <left style="hair">
        <color indexed="8"/>
      </left>
      <right/>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8"/>
      </left>
      <right/>
      <top/>
      <bottom style="medium">
        <color indexed="8"/>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8"/>
      </left>
      <right/>
      <top/>
      <bottom/>
      <diagonal/>
    </border>
    <border>
      <left style="hair">
        <color indexed="8"/>
      </left>
      <right/>
      <top style="hair">
        <color indexed="8"/>
      </top>
      <bottom/>
      <diagonal/>
    </border>
    <border>
      <left style="medium">
        <color auto="1"/>
      </left>
      <right/>
      <top/>
      <bottom style="hair">
        <color auto="1"/>
      </bottom>
      <diagonal/>
    </border>
    <border>
      <left/>
      <right/>
      <top/>
      <bottom style="hair">
        <color auto="1"/>
      </bottom>
      <diagonal/>
    </border>
    <border>
      <left/>
      <right style="hair">
        <color indexed="8"/>
      </right>
      <top/>
      <bottom style="hair">
        <color auto="1"/>
      </bottom>
      <diagonal/>
    </border>
    <border>
      <left/>
      <right style="medium">
        <color indexed="8"/>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thin">
        <color indexed="64"/>
      </top>
      <bottom style="hair">
        <color auto="1"/>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style="hair">
        <color auto="1"/>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hair">
        <color auto="1"/>
      </top>
      <bottom style="thin">
        <color indexed="8"/>
      </bottom>
      <diagonal/>
    </border>
    <border>
      <left style="hair">
        <color indexed="8"/>
      </left>
      <right/>
      <top style="medium">
        <color indexed="8"/>
      </top>
      <bottom style="hair">
        <color indexed="8"/>
      </bottom>
      <diagonal/>
    </border>
  </borders>
  <cellStyleXfs count="2">
    <xf numFmtId="0" fontId="0" fillId="0" borderId="0"/>
    <xf numFmtId="0" fontId="2" fillId="0" borderId="0"/>
  </cellStyleXfs>
  <cellXfs count="350">
    <xf numFmtId="0" fontId="0" fillId="0" borderId="0" xfId="0"/>
    <xf numFmtId="0" fontId="2" fillId="3" borderId="0" xfId="0" applyFont="1" applyFill="1" applyProtection="1"/>
    <xf numFmtId="0" fontId="4" fillId="3" borderId="0" xfId="0" applyFont="1" applyFill="1" applyAlignment="1" applyProtection="1">
      <alignment horizontal="left"/>
    </xf>
    <xf numFmtId="0" fontId="0" fillId="3" borderId="0" xfId="0" applyFill="1"/>
    <xf numFmtId="0" fontId="2" fillId="3" borderId="0" xfId="0" applyFont="1" applyFill="1" applyBorder="1" applyProtection="1"/>
    <xf numFmtId="0" fontId="0" fillId="0" borderId="0" xfId="0" applyAlignment="1">
      <alignment vertical="center"/>
    </xf>
    <xf numFmtId="0" fontId="0" fillId="6" borderId="6" xfId="0" applyFill="1" applyBorder="1" applyAlignment="1">
      <alignment vertical="center"/>
    </xf>
    <xf numFmtId="0" fontId="0" fillId="7" borderId="6" xfId="0" applyFill="1" applyBorder="1" applyAlignment="1">
      <alignment vertical="center"/>
    </xf>
    <xf numFmtId="0" fontId="3" fillId="3" borderId="0" xfId="0" applyFont="1" applyFill="1" applyBorder="1" applyAlignment="1" applyProtection="1">
      <alignment horizontal="center"/>
    </xf>
    <xf numFmtId="0" fontId="0" fillId="3" borderId="0" xfId="0" applyFill="1" applyBorder="1"/>
    <xf numFmtId="176" fontId="0" fillId="6" borderId="6" xfId="0" applyNumberFormat="1" applyFill="1" applyBorder="1" applyAlignment="1">
      <alignment vertical="center"/>
    </xf>
    <xf numFmtId="176" fontId="0" fillId="7" borderId="6" xfId="0" applyNumberFormat="1" applyFill="1" applyBorder="1" applyAlignment="1">
      <alignment vertical="center"/>
    </xf>
    <xf numFmtId="176" fontId="0" fillId="0" borderId="0" xfId="0" applyNumberFormat="1" applyAlignment="1">
      <alignment vertical="center"/>
    </xf>
    <xf numFmtId="0" fontId="2" fillId="3" borderId="0" xfId="0" applyFont="1" applyFill="1" applyAlignment="1" applyProtection="1">
      <alignment horizontal="center" vertical="center"/>
    </xf>
    <xf numFmtId="0" fontId="2" fillId="8" borderId="0" xfId="0" applyFont="1" applyFill="1" applyProtection="1"/>
    <xf numFmtId="0" fontId="2" fillId="8" borderId="0" xfId="0" applyFont="1" applyFill="1" applyAlignment="1" applyProtection="1">
      <alignment horizontal="right"/>
    </xf>
    <xf numFmtId="0" fontId="0" fillId="8" borderId="0" xfId="0" applyFill="1"/>
    <xf numFmtId="0" fontId="2" fillId="8" borderId="0" xfId="0" applyFont="1" applyFill="1" applyBorder="1" applyProtection="1"/>
    <xf numFmtId="0" fontId="0" fillId="3" borderId="0" xfId="0" applyFill="1" applyAlignment="1" applyProtection="1">
      <alignment vertical="top"/>
    </xf>
    <xf numFmtId="0" fontId="4" fillId="8" borderId="1" xfId="0" applyFont="1" applyFill="1" applyBorder="1" applyAlignment="1" applyProtection="1">
      <alignment vertical="top"/>
    </xf>
    <xf numFmtId="0" fontId="4" fillId="8" borderId="0" xfId="0" applyFont="1" applyFill="1" applyBorder="1" applyAlignment="1" applyProtection="1">
      <alignment vertical="top"/>
    </xf>
    <xf numFmtId="0" fontId="4" fillId="8" borderId="1" xfId="0" applyFont="1" applyFill="1" applyBorder="1" applyProtection="1"/>
    <xf numFmtId="0" fontId="4" fillId="8" borderId="0" xfId="0" applyFont="1" applyFill="1" applyBorder="1" applyProtection="1"/>
    <xf numFmtId="0" fontId="4" fillId="8" borderId="0" xfId="0" applyFont="1" applyFill="1" applyBorder="1"/>
    <xf numFmtId="0" fontId="4" fillId="8" borderId="3" xfId="0" applyFont="1" applyFill="1" applyBorder="1"/>
    <xf numFmtId="0" fontId="4" fillId="8" borderId="0" xfId="0" applyFont="1" applyFill="1" applyBorder="1" applyAlignment="1" applyProtection="1"/>
    <xf numFmtId="0" fontId="4" fillId="8" borderId="0" xfId="0" applyFont="1" applyFill="1" applyBorder="1" applyAlignment="1" applyProtection="1">
      <alignment vertical="center"/>
    </xf>
    <xf numFmtId="0" fontId="4" fillId="8" borderId="0" xfId="0" applyFont="1" applyFill="1" applyBorder="1" applyAlignment="1" applyProtection="1">
      <alignment horizontal="left"/>
    </xf>
    <xf numFmtId="0" fontId="4" fillId="8" borderId="0" xfId="0" applyFont="1" applyFill="1" applyBorder="1" applyAlignment="1" applyProtection="1">
      <alignment horizontal="right" vertical="center"/>
    </xf>
    <xf numFmtId="0" fontId="4" fillId="8" borderId="5" xfId="0" applyFont="1" applyFill="1" applyBorder="1" applyProtection="1"/>
    <xf numFmtId="0" fontId="4" fillId="8" borderId="2" xfId="0" applyFont="1" applyFill="1" applyBorder="1"/>
    <xf numFmtId="0" fontId="4" fillId="8" borderId="4" xfId="0" applyFont="1" applyFill="1" applyBorder="1" applyProtection="1"/>
    <xf numFmtId="0" fontId="4" fillId="8" borderId="7" xfId="0" applyFont="1" applyFill="1" applyBorder="1" applyProtection="1"/>
    <xf numFmtId="0" fontId="4" fillId="8" borderId="7" xfId="0" applyFont="1" applyFill="1" applyBorder="1"/>
    <xf numFmtId="0" fontId="4" fillId="8" borderId="1" xfId="0" applyFont="1" applyFill="1" applyBorder="1" applyAlignment="1" applyProtection="1"/>
    <xf numFmtId="0" fontId="4" fillId="8" borderId="3" xfId="0" applyFont="1" applyFill="1" applyBorder="1" applyProtection="1"/>
    <xf numFmtId="0" fontId="4" fillId="8" borderId="0" xfId="0" applyFont="1" applyFill="1" applyBorder="1" applyAlignment="1" applyProtection="1">
      <alignment horizontal="center"/>
    </xf>
    <xf numFmtId="177" fontId="4" fillId="8" borderId="0" xfId="0" applyNumberFormat="1" applyFont="1" applyFill="1" applyBorder="1" applyAlignment="1" applyProtection="1">
      <alignment horizontal="right"/>
    </xf>
    <xf numFmtId="0" fontId="4" fillId="8" borderId="2" xfId="0" applyFont="1" applyFill="1" applyBorder="1" applyAlignment="1" applyProtection="1">
      <alignment vertical="center"/>
    </xf>
    <xf numFmtId="0" fontId="4" fillId="8" borderId="0" xfId="0" applyFont="1" applyFill="1" applyBorder="1" applyAlignment="1">
      <alignment horizontal="left" indent="1"/>
    </xf>
    <xf numFmtId="0" fontId="4" fillId="8" borderId="0" xfId="0" applyFont="1" applyFill="1" applyBorder="1" applyAlignment="1">
      <alignment vertical="center"/>
    </xf>
    <xf numFmtId="0" fontId="4" fillId="8" borderId="1" xfId="0" applyFont="1" applyFill="1" applyBorder="1" applyAlignment="1" applyProtection="1">
      <alignment vertical="center"/>
    </xf>
    <xf numFmtId="0" fontId="0" fillId="8" borderId="0" xfId="0" applyFill="1" applyBorder="1" applyAlignment="1" applyProtection="1">
      <alignment horizontal="right"/>
    </xf>
    <xf numFmtId="0" fontId="0" fillId="0" borderId="0" xfId="0" applyAlignment="1">
      <alignment horizontal="center" vertical="center"/>
    </xf>
    <xf numFmtId="176" fontId="0" fillId="6" borderId="6" xfId="0" applyNumberFormat="1" applyFill="1" applyBorder="1" applyAlignment="1">
      <alignment horizontal="center" vertical="center"/>
    </xf>
    <xf numFmtId="176" fontId="0" fillId="7" borderId="6" xfId="0" applyNumberFormat="1" applyFill="1" applyBorder="1" applyAlignment="1">
      <alignment horizontal="center" vertical="center"/>
    </xf>
    <xf numFmtId="176"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vertical="center"/>
    </xf>
    <xf numFmtId="0" fontId="0" fillId="0" borderId="10" xfId="0" applyFill="1" applyBorder="1" applyAlignment="1">
      <alignment horizontal="center" vertical="center"/>
    </xf>
    <xf numFmtId="0" fontId="0" fillId="0" borderId="14" xfId="0" applyBorder="1" applyAlignment="1">
      <alignment vertical="center"/>
    </xf>
    <xf numFmtId="0" fontId="0" fillId="0" borderId="14" xfId="0" applyBorder="1" applyAlignment="1">
      <alignment horizontal="center" vertical="center"/>
    </xf>
    <xf numFmtId="0" fontId="0" fillId="9" borderId="14" xfId="0" applyFill="1" applyBorder="1" applyAlignment="1">
      <alignment horizontal="center" vertical="center"/>
    </xf>
    <xf numFmtId="179" fontId="0" fillId="0" borderId="14" xfId="0" applyNumberForma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wrapText="1"/>
    </xf>
    <xf numFmtId="0" fontId="0" fillId="0" borderId="9" xfId="0" applyBorder="1" applyAlignment="1">
      <alignment horizontal="center" vertical="center"/>
    </xf>
    <xf numFmtId="0" fontId="0" fillId="0" borderId="9" xfId="0" applyBorder="1" applyAlignment="1">
      <alignment vertical="center"/>
    </xf>
    <xf numFmtId="0" fontId="6" fillId="8" borderId="0" xfId="0" applyFont="1" applyFill="1" applyAlignment="1" applyProtection="1">
      <alignment horizontal="left" vertical="center"/>
    </xf>
    <xf numFmtId="0" fontId="6" fillId="8" borderId="0" xfId="0" applyFont="1" applyFill="1" applyBorder="1" applyAlignment="1">
      <alignment horizontal="right" vertical="center"/>
    </xf>
    <xf numFmtId="0" fontId="6" fillId="8" borderId="0" xfId="0" applyFont="1" applyFill="1" applyBorder="1" applyAlignment="1">
      <alignment horizontal="center" vertical="center"/>
    </xf>
    <xf numFmtId="0" fontId="6" fillId="8" borderId="0" xfId="0" applyFont="1" applyFill="1" applyBorder="1" applyAlignment="1">
      <alignment horizontal="left" vertical="center"/>
    </xf>
    <xf numFmtId="0" fontId="0" fillId="8" borderId="0" xfId="0" applyFont="1" applyFill="1" applyBorder="1" applyAlignment="1">
      <alignment horizontal="right" vertical="center"/>
    </xf>
    <xf numFmtId="0" fontId="4" fillId="8" borderId="0" xfId="0" applyFont="1" applyFill="1" applyBorder="1" applyAlignment="1" applyProtection="1">
      <alignment horizontal="left" vertical="center" indent="1"/>
    </xf>
    <xf numFmtId="0" fontId="0" fillId="8" borderId="2" xfId="0" applyFont="1" applyFill="1" applyBorder="1" applyAlignment="1" applyProtection="1"/>
    <xf numFmtId="0" fontId="0" fillId="8" borderId="0" xfId="0" applyFill="1" applyBorder="1" applyAlignment="1" applyProtection="1"/>
    <xf numFmtId="0" fontId="0" fillId="8" borderId="2" xfId="0" applyFill="1" applyBorder="1" applyAlignment="1" applyProtection="1"/>
    <xf numFmtId="0" fontId="11" fillId="8" borderId="21" xfId="0" applyFont="1" applyFill="1" applyBorder="1" applyAlignment="1">
      <alignment horizontal="center" vertical="center"/>
    </xf>
    <xf numFmtId="0" fontId="6" fillId="8" borderId="21" xfId="0" applyFont="1" applyFill="1" applyBorder="1" applyAlignment="1">
      <alignment horizontal="center" vertical="center"/>
    </xf>
    <xf numFmtId="0" fontId="4" fillId="8" borderId="30" xfId="0" applyFont="1" applyFill="1" applyBorder="1" applyAlignment="1" applyProtection="1">
      <alignment vertical="top"/>
    </xf>
    <xf numFmtId="0" fontId="4" fillId="8" borderId="31" xfId="0" applyFont="1" applyFill="1" applyBorder="1" applyAlignment="1" applyProtection="1">
      <alignment vertical="top"/>
    </xf>
    <xf numFmtId="0" fontId="4" fillId="8" borderId="31" xfId="0" applyFont="1" applyFill="1" applyBorder="1"/>
    <xf numFmtId="0" fontId="4" fillId="8" borderId="31" xfId="0" applyFont="1" applyFill="1" applyBorder="1" applyAlignment="1" applyProtection="1">
      <alignment horizontal="right" vertical="center"/>
    </xf>
    <xf numFmtId="0" fontId="4" fillId="8" borderId="31" xfId="0" applyFont="1" applyFill="1" applyBorder="1" applyAlignment="1">
      <alignment vertical="center"/>
    </xf>
    <xf numFmtId="0" fontId="4" fillId="8" borderId="30" xfId="0" applyFont="1" applyFill="1" applyBorder="1" applyProtection="1"/>
    <xf numFmtId="0" fontId="4" fillId="8" borderId="34" xfId="0" applyFont="1" applyFill="1" applyBorder="1" applyAlignment="1" applyProtection="1">
      <alignment vertical="top"/>
    </xf>
    <xf numFmtId="0" fontId="4" fillId="8" borderId="35" xfId="0" applyFont="1" applyFill="1" applyBorder="1" applyAlignment="1" applyProtection="1">
      <alignment vertical="top"/>
    </xf>
    <xf numFmtId="0" fontId="4" fillId="8" borderId="34" xfId="0" applyFont="1" applyFill="1" applyBorder="1"/>
    <xf numFmtId="0" fontId="4" fillId="8" borderId="35" xfId="0" applyFont="1" applyFill="1" applyBorder="1"/>
    <xf numFmtId="0" fontId="4" fillId="8" borderId="34" xfId="0" applyFont="1" applyFill="1" applyBorder="1" applyAlignment="1">
      <alignment horizontal="left" vertical="center" indent="1"/>
    </xf>
    <xf numFmtId="0" fontId="4" fillId="8" borderId="36" xfId="0" applyFont="1" applyFill="1" applyBorder="1"/>
    <xf numFmtId="0" fontId="0" fillId="0" borderId="0" xfId="0" applyAlignment="1">
      <alignment horizontal="right" vertical="center"/>
    </xf>
    <xf numFmtId="0" fontId="0" fillId="0" borderId="12" xfId="0" applyFill="1" applyBorder="1" applyAlignment="1">
      <alignment horizontal="center" vertical="center"/>
    </xf>
    <xf numFmtId="0" fontId="0" fillId="0" borderId="38" xfId="0" applyBorder="1" applyAlignment="1">
      <alignment vertical="center"/>
    </xf>
    <xf numFmtId="0" fontId="0" fillId="8" borderId="39" xfId="0" applyFill="1" applyBorder="1" applyAlignment="1" applyProtection="1"/>
    <xf numFmtId="180" fontId="0" fillId="0" borderId="14" xfId="0" applyNumberFormat="1" applyBorder="1" applyAlignment="1">
      <alignment horizontal="center" vertical="center"/>
    </xf>
    <xf numFmtId="181" fontId="0" fillId="9" borderId="14" xfId="0" applyNumberFormat="1" applyFill="1" applyBorder="1" applyAlignment="1">
      <alignment horizontal="center" vertical="center"/>
    </xf>
    <xf numFmtId="0" fontId="14" fillId="8" borderId="0" xfId="0" applyFont="1" applyFill="1" applyAlignment="1" applyProtection="1">
      <alignment horizontal="left" vertical="center"/>
    </xf>
    <xf numFmtId="0" fontId="5" fillId="4" borderId="44" xfId="0" applyFont="1" applyFill="1" applyBorder="1" applyProtection="1"/>
    <xf numFmtId="0" fontId="2" fillId="3" borderId="0" xfId="0" applyFont="1" applyFill="1" applyAlignment="1" applyProtection="1">
      <alignment horizontal="center"/>
    </xf>
    <xf numFmtId="49" fontId="15" fillId="0" borderId="0" xfId="1" applyNumberFormat="1" applyFont="1" applyAlignment="1">
      <alignment vertical="center"/>
    </xf>
    <xf numFmtId="49" fontId="3" fillId="0" borderId="0" xfId="1" applyNumberFormat="1" applyFont="1" applyAlignment="1">
      <alignment vertical="center"/>
    </xf>
    <xf numFmtId="0" fontId="2" fillId="0" borderId="0" xfId="1" applyNumberFormat="1" applyBorder="1"/>
    <xf numFmtId="49" fontId="3" fillId="11" borderId="37" xfId="1" applyNumberFormat="1" applyFont="1" applyFill="1" applyBorder="1" applyAlignment="1">
      <alignment horizontal="left" vertical="center"/>
    </xf>
    <xf numFmtId="0" fontId="3" fillId="11" borderId="37" xfId="1" applyNumberFormat="1" applyFont="1" applyFill="1" applyBorder="1" applyAlignment="1">
      <alignment horizontal="center" vertical="center"/>
    </xf>
    <xf numFmtId="0" fontId="17" fillId="0" borderId="0" xfId="1" applyNumberFormat="1" applyFont="1" applyBorder="1" applyAlignment="1">
      <alignment horizontal="left"/>
    </xf>
    <xf numFmtId="49" fontId="3" fillId="12" borderId="37" xfId="1" applyNumberFormat="1" applyFont="1" applyFill="1" applyBorder="1" applyAlignment="1">
      <alignment horizontal="left" vertical="center"/>
    </xf>
    <xf numFmtId="0" fontId="3" fillId="13" borderId="37" xfId="1" applyNumberFormat="1" applyFont="1" applyFill="1" applyBorder="1" applyAlignment="1">
      <alignment horizontal="center" vertical="center"/>
    </xf>
    <xf numFmtId="0" fontId="18" fillId="0" borderId="0" xfId="1" applyNumberFormat="1" applyFont="1" applyBorder="1" applyAlignment="1">
      <alignment horizontal="center"/>
    </xf>
    <xf numFmtId="0" fontId="2" fillId="0" borderId="0" xfId="1" applyNumberFormat="1" applyFont="1" applyBorder="1"/>
    <xf numFmtId="0" fontId="18" fillId="0" borderId="0" xfId="1" applyNumberFormat="1" applyFont="1" applyBorder="1"/>
    <xf numFmtId="49" fontId="3" fillId="11" borderId="37" xfId="1" applyNumberFormat="1" applyFont="1" applyFill="1" applyBorder="1" applyAlignment="1">
      <alignment vertical="center"/>
    </xf>
    <xf numFmtId="49" fontId="3" fillId="14" borderId="37" xfId="1" applyNumberFormat="1" applyFont="1" applyFill="1" applyBorder="1" applyAlignment="1">
      <alignment vertical="center"/>
    </xf>
    <xf numFmtId="179" fontId="3" fillId="14" borderId="37" xfId="1" applyNumberFormat="1" applyFont="1" applyFill="1" applyBorder="1" applyAlignment="1">
      <alignment vertical="center"/>
    </xf>
    <xf numFmtId="179" fontId="3" fillId="13" borderId="37" xfId="1" applyNumberFormat="1" applyFont="1" applyFill="1" applyBorder="1" applyAlignment="1">
      <alignment horizontal="center" vertical="center"/>
    </xf>
    <xf numFmtId="179" fontId="2" fillId="0" borderId="0" xfId="1" applyNumberFormat="1" applyBorder="1"/>
    <xf numFmtId="0" fontId="2" fillId="0" borderId="0" xfId="1"/>
    <xf numFmtId="0" fontId="4" fillId="8" borderId="46" xfId="0" applyFont="1" applyFill="1" applyBorder="1" applyAlignment="1" applyProtection="1">
      <alignment horizontal="right"/>
    </xf>
    <xf numFmtId="0" fontId="0" fillId="3" borderId="0" xfId="0" applyFill="1" applyAlignment="1">
      <alignment horizontal="center"/>
    </xf>
    <xf numFmtId="182" fontId="2" fillId="3" borderId="0" xfId="0" applyNumberFormat="1" applyFont="1" applyFill="1" applyAlignment="1" applyProtection="1">
      <alignment horizontal="center"/>
    </xf>
    <xf numFmtId="0" fontId="0" fillId="15" borderId="0" xfId="0" applyFill="1"/>
    <xf numFmtId="0" fontId="4" fillId="15" borderId="0" xfId="0" applyFont="1" applyFill="1" applyBorder="1" applyAlignment="1" applyProtection="1">
      <alignment horizontal="center" vertical="center"/>
    </xf>
    <xf numFmtId="0" fontId="2" fillId="15" borderId="0" xfId="0" applyFont="1" applyFill="1" applyAlignment="1" applyProtection="1">
      <alignment horizontal="center"/>
    </xf>
    <xf numFmtId="0" fontId="0" fillId="15" borderId="0" xfId="0" applyFill="1" applyAlignment="1">
      <alignment horizontal="center"/>
    </xf>
    <xf numFmtId="0" fontId="2" fillId="15" borderId="0" xfId="0" applyFont="1" applyFill="1" applyBorder="1" applyProtection="1"/>
    <xf numFmtId="0" fontId="4" fillId="8" borderId="48" xfId="0" applyFont="1" applyFill="1" applyBorder="1"/>
    <xf numFmtId="0" fontId="4" fillId="8" borderId="49" xfId="0" applyFont="1" applyFill="1" applyBorder="1"/>
    <xf numFmtId="0" fontId="4" fillId="8" borderId="50" xfId="0" applyFont="1" applyFill="1" applyBorder="1"/>
    <xf numFmtId="0" fontId="4" fillId="8" borderId="49" xfId="0" applyFont="1" applyFill="1" applyBorder="1" applyAlignment="1" applyProtection="1">
      <alignment horizontal="right" vertical="center"/>
    </xf>
    <xf numFmtId="0" fontId="4" fillId="8" borderId="49" xfId="0" applyFont="1" applyFill="1" applyBorder="1" applyAlignment="1">
      <alignment vertical="center"/>
    </xf>
    <xf numFmtId="176" fontId="0" fillId="6" borderId="37" xfId="0" applyNumberFormat="1" applyFill="1" applyBorder="1" applyAlignment="1">
      <alignment vertical="center"/>
    </xf>
    <xf numFmtId="183" fontId="18" fillId="0" borderId="0" xfId="1" applyNumberFormat="1" applyFont="1" applyBorder="1"/>
    <xf numFmtId="184" fontId="2" fillId="0" borderId="0" xfId="1" applyNumberFormat="1"/>
    <xf numFmtId="179" fontId="0" fillId="9" borderId="14" xfId="0" applyNumberFormat="1" applyFill="1" applyBorder="1" applyAlignment="1">
      <alignment horizontal="center" vertical="center"/>
    </xf>
    <xf numFmtId="179" fontId="0" fillId="0" borderId="52" xfId="0" applyNumberFormat="1" applyFill="1" applyBorder="1" applyAlignment="1">
      <alignment horizontal="center" vertical="center"/>
    </xf>
    <xf numFmtId="176" fontId="0" fillId="0" borderId="37" xfId="0" applyNumberFormat="1" applyBorder="1" applyAlignment="1">
      <alignment vertical="center"/>
    </xf>
    <xf numFmtId="0" fontId="0" fillId="0" borderId="53" xfId="0" applyBorder="1" applyAlignment="1">
      <alignment horizontal="center" vertical="center"/>
    </xf>
    <xf numFmtId="0" fontId="0" fillId="0" borderId="52" xfId="0" applyBorder="1" applyAlignment="1">
      <alignment horizontal="center" vertical="center"/>
    </xf>
    <xf numFmtId="0" fontId="0" fillId="0" borderId="37" xfId="0" applyBorder="1" applyAlignment="1">
      <alignment vertical="center"/>
    </xf>
    <xf numFmtId="176" fontId="0" fillId="0" borderId="0" xfId="0" applyNumberFormat="1" applyFill="1" applyBorder="1" applyAlignment="1">
      <alignment horizontal="center" vertical="center"/>
    </xf>
    <xf numFmtId="176" fontId="0" fillId="5" borderId="37" xfId="0" applyNumberFormat="1" applyFill="1" applyBorder="1" applyAlignment="1">
      <alignment horizontal="center" vertical="center"/>
    </xf>
    <xf numFmtId="181" fontId="4" fillId="8" borderId="0" xfId="0" applyNumberFormat="1" applyFont="1" applyFill="1" applyBorder="1" applyAlignment="1" applyProtection="1">
      <alignment vertical="center"/>
    </xf>
    <xf numFmtId="181" fontId="0" fillId="0" borderId="0" xfId="0" applyNumberFormat="1" applyBorder="1" applyAlignment="1">
      <alignment horizontal="center" vertical="center"/>
    </xf>
    <xf numFmtId="0" fontId="0" fillId="0" borderId="0" xfId="0" applyFill="1" applyAlignment="1">
      <alignment horizontal="right" vertical="center"/>
    </xf>
    <xf numFmtId="176" fontId="0" fillId="0" borderId="42" xfId="0" applyNumberFormat="1" applyFill="1" applyBorder="1" applyAlignment="1">
      <alignment horizontal="center" vertical="center"/>
    </xf>
    <xf numFmtId="0" fontId="22" fillId="0" borderId="0" xfId="0" applyFont="1" applyFill="1" applyBorder="1" applyAlignment="1">
      <alignment horizontal="center" vertical="top"/>
    </xf>
    <xf numFmtId="0" fontId="0" fillId="0" borderId="44" xfId="0" applyBorder="1" applyAlignment="1">
      <alignment horizontal="center" vertical="center"/>
    </xf>
    <xf numFmtId="0" fontId="0" fillId="3" borderId="0" xfId="0" applyFont="1" applyFill="1" applyProtection="1"/>
    <xf numFmtId="0" fontId="3" fillId="8" borderId="0" xfId="0" applyFont="1" applyFill="1" applyBorder="1" applyAlignment="1" applyProtection="1">
      <alignment horizontal="right" vertical="center"/>
    </xf>
    <xf numFmtId="0" fontId="3" fillId="3" borderId="0" xfId="0" applyFont="1" applyFill="1" applyBorder="1" applyAlignment="1" applyProtection="1">
      <alignment horizontal="left"/>
    </xf>
    <xf numFmtId="0" fontId="3" fillId="3" borderId="0" xfId="0" applyFont="1" applyFill="1" applyAlignment="1">
      <alignment horizontal="left" vertical="top" indent="1"/>
    </xf>
    <xf numFmtId="0" fontId="3" fillId="8" borderId="0" xfId="0" applyFont="1" applyFill="1" applyBorder="1" applyProtection="1"/>
    <xf numFmtId="0" fontId="3" fillId="8" borderId="0" xfId="0" applyFont="1" applyFill="1" applyBorder="1"/>
    <xf numFmtId="0" fontId="3" fillId="8" borderId="0" xfId="0" applyFont="1" applyFill="1" applyBorder="1" applyAlignment="1" applyProtection="1">
      <alignment horizontal="right"/>
    </xf>
    <xf numFmtId="0" fontId="3" fillId="8" borderId="34" xfId="0" applyFont="1" applyFill="1" applyBorder="1"/>
    <xf numFmtId="0" fontId="3" fillId="8" borderId="0" xfId="0" applyFont="1" applyFill="1" applyBorder="1" applyAlignment="1" applyProtection="1">
      <alignment horizontal="centerContinuous"/>
    </xf>
    <xf numFmtId="0" fontId="3" fillId="8" borderId="0" xfId="0" applyFont="1" applyFill="1" applyBorder="1" applyAlignment="1" applyProtection="1">
      <alignment vertical="center"/>
    </xf>
    <xf numFmtId="0" fontId="3" fillId="8" borderId="0" xfId="0" applyFont="1" applyFill="1" applyBorder="1" applyAlignment="1">
      <alignment vertical="center"/>
    </xf>
    <xf numFmtId="0" fontId="3" fillId="8" borderId="0" xfId="0" applyFont="1" applyFill="1" applyBorder="1" applyAlignment="1" applyProtection="1">
      <alignment horizontal="left" vertical="center" indent="1"/>
    </xf>
    <xf numFmtId="0" fontId="3" fillId="8" borderId="0" xfId="0" applyFont="1" applyFill="1" applyBorder="1" applyAlignment="1" applyProtection="1"/>
    <xf numFmtId="0" fontId="3" fillId="8" borderId="0" xfId="0" applyFont="1" applyFill="1"/>
    <xf numFmtId="0" fontId="3" fillId="8" borderId="0" xfId="0" applyFont="1" applyFill="1" applyBorder="1" applyAlignment="1">
      <alignment horizontal="right"/>
    </xf>
    <xf numFmtId="0" fontId="3" fillId="8" borderId="0" xfId="0" applyFont="1" applyFill="1" applyBorder="1" applyAlignment="1" applyProtection="1">
      <alignment horizontal="left"/>
    </xf>
    <xf numFmtId="0" fontId="3" fillId="8" borderId="34" xfId="0" applyFont="1" applyFill="1" applyBorder="1" applyAlignment="1">
      <alignment horizontal="right"/>
    </xf>
    <xf numFmtId="0" fontId="3" fillId="8" borderId="31" xfId="0" applyFont="1" applyFill="1" applyBorder="1"/>
    <xf numFmtId="0" fontId="3" fillId="8" borderId="31" xfId="0" applyFont="1" applyFill="1" applyBorder="1" applyAlignment="1" applyProtection="1">
      <alignment horizontal="right" vertical="center"/>
    </xf>
    <xf numFmtId="0" fontId="3" fillId="8" borderId="31" xfId="0" applyFont="1" applyFill="1" applyBorder="1" applyAlignment="1" applyProtection="1">
      <alignment horizontal="left" vertical="center"/>
    </xf>
    <xf numFmtId="0" fontId="3" fillId="8" borderId="31" xfId="0" applyFont="1" applyFill="1" applyBorder="1" applyAlignment="1" applyProtection="1">
      <alignment horizontal="center" vertical="center"/>
    </xf>
    <xf numFmtId="0" fontId="3" fillId="8" borderId="31" xfId="0" applyFont="1" applyFill="1" applyBorder="1" applyAlignment="1">
      <alignment vertical="center"/>
    </xf>
    <xf numFmtId="0" fontId="3" fillId="8" borderId="31" xfId="0" applyFont="1" applyFill="1" applyBorder="1" applyAlignment="1" applyProtection="1">
      <alignment vertical="center"/>
    </xf>
    <xf numFmtId="0" fontId="3" fillId="8" borderId="35" xfId="0" applyFont="1" applyFill="1" applyBorder="1"/>
    <xf numFmtId="0" fontId="3" fillId="8" borderId="31" xfId="0" applyFont="1" applyFill="1" applyBorder="1" applyProtection="1"/>
    <xf numFmtId="0" fontId="3" fillId="2" borderId="47" xfId="0" applyFont="1" applyFill="1" applyBorder="1" applyProtection="1"/>
    <xf numFmtId="0" fontId="3" fillId="8" borderId="0" xfId="0" applyFont="1" applyFill="1" applyBorder="1" applyAlignment="1"/>
    <xf numFmtId="0" fontId="3" fillId="8" borderId="0" xfId="0" applyFont="1" applyFill="1" applyBorder="1" applyAlignment="1">
      <alignment horizontal="left" indent="1"/>
    </xf>
    <xf numFmtId="0" fontId="3" fillId="8" borderId="31" xfId="0" applyFont="1" applyFill="1" applyBorder="1" applyAlignment="1" applyProtection="1">
      <alignment horizontal="left" indent="1"/>
    </xf>
    <xf numFmtId="0" fontId="3" fillId="8" borderId="31" xfId="0" applyFont="1" applyFill="1" applyBorder="1" applyAlignment="1" applyProtection="1">
      <alignment horizontal="right"/>
    </xf>
    <xf numFmtId="0" fontId="3" fillId="2" borderId="46" xfId="0" applyFont="1" applyFill="1" applyBorder="1" applyProtection="1"/>
    <xf numFmtId="0" fontId="3" fillId="8" borderId="49" xfId="0" applyFont="1" applyFill="1" applyBorder="1" applyProtection="1"/>
    <xf numFmtId="0" fontId="3" fillId="8" borderId="49" xfId="0" applyFont="1" applyFill="1" applyBorder="1"/>
    <xf numFmtId="0" fontId="3" fillId="8" borderId="49" xfId="0" applyFont="1" applyFill="1" applyBorder="1" applyAlignment="1" applyProtection="1">
      <alignment horizontal="right" vertical="center"/>
    </xf>
    <xf numFmtId="0" fontId="3" fillId="8" borderId="49" xfId="0" applyFont="1" applyFill="1" applyBorder="1" applyAlignment="1" applyProtection="1">
      <alignment vertical="center"/>
    </xf>
    <xf numFmtId="0" fontId="3" fillId="8" borderId="49" xfId="0" applyFont="1" applyFill="1" applyBorder="1" applyAlignment="1">
      <alignment vertical="center"/>
    </xf>
    <xf numFmtId="0" fontId="3" fillId="8" borderId="50" xfId="0" applyFont="1" applyFill="1" applyBorder="1"/>
    <xf numFmtId="0" fontId="3" fillId="8" borderId="49" xfId="0" applyFont="1" applyFill="1" applyBorder="1" applyAlignment="1">
      <alignment horizontal="left" indent="1"/>
    </xf>
    <xf numFmtId="0" fontId="3" fillId="8" borderId="0" xfId="0" applyFont="1" applyFill="1" applyBorder="1" applyAlignment="1" applyProtection="1">
      <alignment horizontal="center"/>
    </xf>
    <xf numFmtId="0" fontId="4" fillId="8" borderId="34" xfId="0" applyFont="1" applyFill="1" applyBorder="1" applyAlignment="1"/>
    <xf numFmtId="0" fontId="3" fillId="8" borderId="34" xfId="0" applyFont="1" applyFill="1" applyBorder="1" applyAlignment="1"/>
    <xf numFmtId="0" fontId="3" fillId="8" borderId="0" xfId="0" applyFont="1" applyFill="1" applyBorder="1" applyAlignment="1">
      <alignment horizontal="left"/>
    </xf>
    <xf numFmtId="0" fontId="4" fillId="8" borderId="32" xfId="0" applyFont="1" applyFill="1" applyBorder="1" applyAlignment="1">
      <alignment vertical="center"/>
    </xf>
    <xf numFmtId="0" fontId="4" fillId="8" borderId="3" xfId="0" applyFont="1" applyFill="1" applyBorder="1" applyAlignment="1">
      <alignment vertical="center"/>
    </xf>
    <xf numFmtId="0" fontId="4" fillId="8" borderId="51" xfId="0" applyFont="1" applyFill="1" applyBorder="1" applyAlignment="1">
      <alignment vertical="center"/>
    </xf>
    <xf numFmtId="0" fontId="20" fillId="8" borderId="0" xfId="0" applyFont="1" applyFill="1" applyBorder="1" applyAlignment="1" applyProtection="1">
      <alignment horizontal="left" vertical="center" shrinkToFit="1"/>
    </xf>
    <xf numFmtId="0" fontId="20" fillId="8" borderId="0" xfId="0" applyFont="1" applyFill="1" applyBorder="1" applyAlignment="1" applyProtection="1">
      <alignment vertical="center"/>
      <protection locked="0"/>
    </xf>
    <xf numFmtId="0" fontId="7" fillId="3" borderId="0" xfId="0" applyFont="1" applyFill="1" applyBorder="1" applyAlignment="1" applyProtection="1">
      <alignment horizontal="center"/>
    </xf>
    <xf numFmtId="0" fontId="20" fillId="8" borderId="3" xfId="0" applyFont="1" applyFill="1" applyBorder="1" applyAlignment="1" applyProtection="1">
      <alignment horizontal="left" vertical="center" shrinkToFit="1"/>
    </xf>
    <xf numFmtId="0" fontId="4" fillId="8" borderId="0" xfId="0" applyFont="1" applyFill="1" applyBorder="1" applyAlignment="1" applyProtection="1">
      <alignment horizontal="right"/>
    </xf>
    <xf numFmtId="0" fontId="4" fillId="8" borderId="34" xfId="0" applyFont="1" applyFill="1" applyBorder="1" applyAlignment="1" applyProtection="1"/>
    <xf numFmtId="0" fontId="4" fillId="8" borderId="34" xfId="0" applyFont="1" applyFill="1" applyBorder="1" applyAlignment="1" applyProtection="1">
      <alignment horizontal="center" vertical="center"/>
    </xf>
    <xf numFmtId="0" fontId="4" fillId="8" borderId="0" xfId="0" applyFont="1" applyFill="1" applyBorder="1" applyAlignment="1"/>
    <xf numFmtId="181" fontId="4" fillId="8" borderId="1" xfId="0" applyNumberFormat="1" applyFont="1" applyFill="1" applyBorder="1" applyAlignment="1" applyProtection="1">
      <alignment vertical="center" shrinkToFit="1"/>
    </xf>
    <xf numFmtId="181" fontId="4" fillId="8" borderId="0" xfId="0" applyNumberFormat="1" applyFont="1" applyFill="1" applyBorder="1" applyAlignment="1" applyProtection="1">
      <alignment vertical="center" shrinkToFit="1"/>
    </xf>
    <xf numFmtId="0" fontId="18" fillId="0" borderId="0" xfId="1" applyNumberFormat="1" applyFont="1" applyBorder="1" applyAlignment="1">
      <alignment vertical="center"/>
    </xf>
    <xf numFmtId="0" fontId="2" fillId="0" borderId="0" xfId="1" applyNumberFormat="1" applyBorder="1" applyAlignment="1">
      <alignment vertical="center"/>
    </xf>
    <xf numFmtId="0" fontId="3" fillId="5" borderId="37" xfId="1" applyNumberFormat="1" applyFont="1" applyFill="1" applyBorder="1" applyAlignment="1">
      <alignment horizontal="center" vertical="center"/>
    </xf>
    <xf numFmtId="0" fontId="21" fillId="8" borderId="0" xfId="0" applyFont="1" applyFill="1" applyBorder="1" applyAlignment="1" applyProtection="1">
      <alignment horizontal="left" vertical="center" shrinkToFit="1"/>
    </xf>
    <xf numFmtId="0" fontId="21" fillId="8" borderId="3" xfId="0" applyFont="1" applyFill="1" applyBorder="1" applyAlignment="1" applyProtection="1">
      <alignment horizontal="left" vertical="center" shrinkToFit="1"/>
    </xf>
    <xf numFmtId="0" fontId="2" fillId="3" borderId="0" xfId="0" applyFont="1" applyFill="1" applyAlignment="1" applyProtection="1">
      <alignment horizontal="center"/>
    </xf>
    <xf numFmtId="0" fontId="4" fillId="8" borderId="3" xfId="0" applyFont="1" applyFill="1" applyBorder="1" applyAlignment="1" applyProtection="1">
      <alignment horizontal="left" vertical="top" shrinkToFit="1"/>
    </xf>
    <xf numFmtId="0" fontId="4" fillId="8" borderId="0" xfId="0" applyFont="1" applyFill="1" applyBorder="1" applyAlignment="1" applyProtection="1">
      <alignment horizontal="left" vertical="center"/>
    </xf>
    <xf numFmtId="0" fontId="4" fillId="8" borderId="3" xfId="0" applyFont="1" applyFill="1" applyBorder="1" applyAlignment="1" applyProtection="1">
      <alignment horizontal="left" vertical="center"/>
    </xf>
    <xf numFmtId="176" fontId="3" fillId="8" borderId="0" xfId="0" applyNumberFormat="1" applyFont="1" applyFill="1" applyBorder="1" applyAlignment="1" applyProtection="1">
      <alignment horizontal="left"/>
    </xf>
    <xf numFmtId="0" fontId="0" fillId="10" borderId="24" xfId="0" applyFill="1" applyBorder="1" applyAlignment="1">
      <alignment horizontal="center" vertical="center"/>
    </xf>
    <xf numFmtId="0" fontId="3" fillId="8" borderId="0" xfId="0" applyFont="1" applyFill="1" applyBorder="1" applyAlignment="1" applyProtection="1">
      <alignment horizontal="right" vertical="center"/>
    </xf>
    <xf numFmtId="0" fontId="0" fillId="10" borderId="25" xfId="0" applyFill="1" applyBorder="1" applyAlignment="1">
      <alignment horizontal="center" vertical="center"/>
    </xf>
    <xf numFmtId="0" fontId="0" fillId="10" borderId="26" xfId="0" applyFill="1" applyBorder="1" applyAlignment="1">
      <alignment horizontal="center" vertical="center"/>
    </xf>
    <xf numFmtId="0" fontId="4" fillId="8" borderId="0" xfId="0" applyFont="1" applyFill="1" applyBorder="1" applyAlignment="1" applyProtection="1">
      <alignment horizontal="left" vertical="center"/>
    </xf>
    <xf numFmtId="0" fontId="3" fillId="8" borderId="36" xfId="0" applyFont="1" applyFill="1" applyBorder="1" applyAlignment="1" applyProtection="1">
      <alignment horizontal="left" vertical="center" indent="1"/>
    </xf>
    <xf numFmtId="0" fontId="3" fillId="8" borderId="31" xfId="0" applyFont="1" applyFill="1" applyBorder="1" applyAlignment="1" applyProtection="1">
      <alignment horizontal="left"/>
    </xf>
    <xf numFmtId="0" fontId="0" fillId="0" borderId="0" xfId="0" applyFill="1"/>
    <xf numFmtId="0" fontId="3" fillId="0" borderId="0" xfId="0" applyFont="1" applyFill="1" applyBorder="1" applyAlignment="1" applyProtection="1"/>
    <xf numFmtId="0" fontId="0" fillId="0" borderId="0" xfId="0" applyFill="1" applyBorder="1"/>
    <xf numFmtId="0" fontId="3" fillId="3" borderId="0" xfId="0" applyFont="1" applyFill="1" applyProtection="1"/>
    <xf numFmtId="0" fontId="27" fillId="3" borderId="0" xfId="0" applyFont="1" applyFill="1" applyProtection="1"/>
    <xf numFmtId="0" fontId="3" fillId="2" borderId="0" xfId="0" applyFont="1" applyFill="1" applyBorder="1" applyAlignment="1" applyProtection="1">
      <alignment horizontal="left"/>
    </xf>
    <xf numFmtId="0" fontId="0" fillId="0" borderId="57" xfId="0" applyFill="1" applyBorder="1"/>
    <xf numFmtId="0" fontId="0" fillId="0" borderId="0" xfId="0" applyAlignment="1"/>
    <xf numFmtId="176" fontId="4" fillId="8" borderId="0" xfId="0" applyNumberFormat="1" applyFont="1" applyFill="1" applyBorder="1" applyAlignment="1" applyProtection="1">
      <alignment vertical="center"/>
    </xf>
    <xf numFmtId="176" fontId="0" fillId="16" borderId="37" xfId="0" applyNumberFormat="1" applyFill="1" applyBorder="1" applyAlignment="1">
      <alignment vertical="center"/>
    </xf>
    <xf numFmtId="176" fontId="0" fillId="16" borderId="6" xfId="0" applyNumberFormat="1" applyFill="1" applyBorder="1" applyAlignment="1">
      <alignment vertical="center"/>
    </xf>
    <xf numFmtId="176" fontId="0" fillId="16" borderId="6" xfId="0" applyNumberFormat="1" applyFill="1" applyBorder="1" applyAlignment="1">
      <alignment horizontal="center" vertical="center"/>
    </xf>
    <xf numFmtId="0" fontId="0" fillId="16" borderId="6" xfId="0" applyFill="1" applyBorder="1" applyAlignment="1">
      <alignment vertical="center"/>
    </xf>
    <xf numFmtId="176" fontId="0" fillId="17" borderId="37" xfId="0" applyNumberFormat="1" applyFill="1" applyBorder="1" applyAlignment="1">
      <alignment vertical="center"/>
    </xf>
    <xf numFmtId="176" fontId="0" fillId="17" borderId="6" xfId="0" applyNumberFormat="1" applyFill="1" applyBorder="1" applyAlignment="1">
      <alignment vertical="center"/>
    </xf>
    <xf numFmtId="176" fontId="0" fillId="17" borderId="6" xfId="0" applyNumberFormat="1" applyFill="1" applyBorder="1" applyAlignment="1">
      <alignment horizontal="center" vertical="center"/>
    </xf>
    <xf numFmtId="0" fontId="0" fillId="17" borderId="6" xfId="0" applyFill="1" applyBorder="1" applyAlignment="1">
      <alignment vertical="center"/>
    </xf>
    <xf numFmtId="0" fontId="2" fillId="3" borderId="0" xfId="0" applyFont="1" applyFill="1" applyAlignment="1" applyProtection="1">
      <alignment horizontal="left"/>
    </xf>
    <xf numFmtId="0" fontId="2" fillId="3" borderId="0" xfId="0" applyFont="1" applyFill="1"/>
    <xf numFmtId="0" fontId="0" fillId="0" borderId="12" xfId="0" applyFont="1" applyBorder="1" applyAlignment="1">
      <alignment horizontal="center"/>
    </xf>
    <xf numFmtId="0" fontId="28" fillId="0" borderId="37" xfId="0" applyFont="1" applyBorder="1" applyAlignment="1">
      <alignment horizontal="center"/>
    </xf>
    <xf numFmtId="37" fontId="28" fillId="0" borderId="37" xfId="0" applyNumberFormat="1" applyFont="1" applyBorder="1" applyAlignment="1" applyProtection="1">
      <alignment horizontal="center"/>
    </xf>
    <xf numFmtId="0" fontId="4" fillId="3" borderId="0" xfId="0" applyFont="1" applyFill="1" applyProtection="1"/>
    <xf numFmtId="0" fontId="29" fillId="7" borderId="6" xfId="0" applyFont="1" applyFill="1" applyBorder="1" applyAlignment="1">
      <alignment vertical="center"/>
    </xf>
    <xf numFmtId="0" fontId="29" fillId="7" borderId="37" xfId="0" applyFont="1" applyFill="1" applyBorder="1" applyAlignment="1">
      <alignment vertical="center"/>
    </xf>
    <xf numFmtId="176" fontId="30" fillId="7" borderId="37" xfId="0" applyNumberFormat="1" applyFont="1" applyFill="1" applyBorder="1" applyAlignment="1">
      <alignment vertical="center"/>
    </xf>
    <xf numFmtId="176" fontId="29" fillId="6" borderId="6" xfId="0" applyNumberFormat="1" applyFont="1" applyFill="1" applyBorder="1" applyAlignment="1">
      <alignment vertical="center"/>
    </xf>
    <xf numFmtId="176" fontId="29" fillId="6" borderId="37" xfId="0" applyNumberFormat="1" applyFont="1" applyFill="1" applyBorder="1" applyAlignment="1">
      <alignment vertical="center"/>
    </xf>
    <xf numFmtId="176" fontId="29" fillId="18" borderId="6" xfId="0" applyNumberFormat="1" applyFont="1" applyFill="1" applyBorder="1" applyAlignment="1">
      <alignment vertical="center"/>
    </xf>
    <xf numFmtId="176" fontId="29" fillId="18" borderId="37" xfId="0" applyNumberFormat="1" applyFont="1" applyFill="1" applyBorder="1" applyAlignment="1">
      <alignment vertical="center"/>
    </xf>
    <xf numFmtId="176" fontId="29" fillId="7" borderId="6" xfId="0" applyNumberFormat="1" applyFont="1" applyFill="1" applyBorder="1" applyAlignment="1">
      <alignment vertical="center"/>
    </xf>
    <xf numFmtId="176" fontId="29" fillId="7" borderId="37" xfId="0" applyNumberFormat="1" applyFont="1" applyFill="1" applyBorder="1" applyAlignment="1">
      <alignment vertical="center"/>
    </xf>
    <xf numFmtId="0" fontId="29" fillId="16" borderId="6" xfId="0" applyFont="1" applyFill="1" applyBorder="1" applyAlignment="1">
      <alignment vertical="center"/>
    </xf>
    <xf numFmtId="0" fontId="29" fillId="6" borderId="6" xfId="0" applyFont="1" applyFill="1" applyBorder="1" applyAlignment="1">
      <alignment vertical="center"/>
    </xf>
    <xf numFmtId="0" fontId="29" fillId="17" borderId="6" xfId="0" applyFont="1" applyFill="1" applyBorder="1" applyAlignment="1">
      <alignment vertical="center"/>
    </xf>
    <xf numFmtId="0" fontId="0" fillId="0" borderId="37" xfId="0" applyBorder="1" applyAlignment="1">
      <alignment horizontal="center" vertical="center"/>
    </xf>
    <xf numFmtId="0" fontId="4" fillId="0" borderId="0" xfId="1" applyFont="1"/>
    <xf numFmtId="0" fontId="17" fillId="5" borderId="37" xfId="1" applyNumberFormat="1" applyFont="1" applyFill="1" applyBorder="1" applyAlignment="1">
      <alignment horizontal="center" vertical="center"/>
    </xf>
    <xf numFmtId="179" fontId="3" fillId="0" borderId="37" xfId="1" applyNumberFormat="1" applyFont="1" applyBorder="1"/>
    <xf numFmtId="0" fontId="0" fillId="0" borderId="0" xfId="1" applyFont="1"/>
    <xf numFmtId="0" fontId="33" fillId="13" borderId="37" xfId="1" applyNumberFormat="1" applyFont="1" applyFill="1" applyBorder="1" applyAlignment="1">
      <alignment horizontal="center" vertical="center"/>
    </xf>
    <xf numFmtId="0" fontId="4" fillId="0" borderId="0" xfId="1" applyNumberFormat="1" applyFont="1" applyBorder="1"/>
    <xf numFmtId="176" fontId="0" fillId="7" borderId="37" xfId="0" applyNumberFormat="1" applyFill="1" applyBorder="1" applyAlignment="1">
      <alignment vertical="center"/>
    </xf>
    <xf numFmtId="0" fontId="22" fillId="7" borderId="6" xfId="0" applyFont="1" applyFill="1" applyBorder="1" applyAlignment="1">
      <alignment vertical="center"/>
    </xf>
    <xf numFmtId="0" fontId="4" fillId="8" borderId="1" xfId="0" applyFont="1" applyFill="1" applyBorder="1" applyAlignment="1" applyProtection="1">
      <alignment horizontal="left" vertical="center"/>
    </xf>
    <xf numFmtId="0" fontId="4" fillId="8" borderId="0" xfId="0" applyFont="1" applyFill="1" applyBorder="1" applyAlignment="1" applyProtection="1">
      <alignment horizontal="left" vertical="center"/>
    </xf>
    <xf numFmtId="0" fontId="4" fillId="8" borderId="34" xfId="0" applyFont="1" applyFill="1" applyBorder="1" applyAlignment="1" applyProtection="1">
      <alignment horizontal="left" vertical="center"/>
    </xf>
    <xf numFmtId="0" fontId="9" fillId="4" borderId="37" xfId="0" applyFont="1" applyFill="1" applyBorder="1" applyAlignment="1" applyProtection="1">
      <alignment horizontal="center" vertical="center"/>
      <protection locked="0"/>
    </xf>
    <xf numFmtId="0" fontId="0" fillId="4" borderId="37" xfId="0" applyFill="1" applyBorder="1" applyAlignment="1" applyProtection="1">
      <alignment horizontal="center" vertical="center"/>
    </xf>
    <xf numFmtId="0" fontId="5" fillId="4" borderId="44" xfId="0" applyFont="1" applyFill="1" applyBorder="1" applyAlignment="1" applyProtection="1">
      <alignment horizontal="center"/>
    </xf>
    <xf numFmtId="0" fontId="5" fillId="4" borderId="37" xfId="0" applyFont="1" applyFill="1" applyBorder="1" applyAlignment="1" applyProtection="1">
      <alignment horizontal="center"/>
    </xf>
    <xf numFmtId="0" fontId="4" fillId="8" borderId="1" xfId="0" applyFont="1" applyFill="1" applyBorder="1" applyAlignment="1" applyProtection="1">
      <alignment horizontal="left"/>
    </xf>
    <xf numFmtId="0" fontId="4" fillId="8" borderId="0" xfId="0" applyFont="1" applyFill="1" applyBorder="1" applyAlignment="1" applyProtection="1">
      <alignment horizontal="left"/>
    </xf>
    <xf numFmtId="0" fontId="4" fillId="8" borderId="34" xfId="0" applyFont="1" applyFill="1" applyBorder="1" applyAlignment="1" applyProtection="1">
      <alignment horizontal="left"/>
    </xf>
    <xf numFmtId="0" fontId="14" fillId="8" borderId="20" xfId="0" applyFont="1" applyFill="1" applyBorder="1" applyAlignment="1">
      <alignment horizontal="right" vertical="center"/>
    </xf>
    <xf numFmtId="0" fontId="14" fillId="8" borderId="21" xfId="0" applyFont="1" applyFill="1" applyBorder="1" applyAlignment="1">
      <alignment horizontal="right" vertical="center"/>
    </xf>
    <xf numFmtId="0" fontId="3" fillId="8" borderId="0" xfId="0" applyFont="1" applyFill="1" applyBorder="1" applyAlignment="1" applyProtection="1">
      <alignment horizontal="right" vertical="center"/>
    </xf>
    <xf numFmtId="0" fontId="4" fillId="8" borderId="62" xfId="0" applyFont="1" applyFill="1" applyBorder="1" applyAlignment="1" applyProtection="1">
      <alignment horizontal="center" vertical="center"/>
    </xf>
    <xf numFmtId="0" fontId="4" fillId="8" borderId="28" xfId="0" applyFont="1" applyFill="1" applyBorder="1" applyAlignment="1" applyProtection="1">
      <alignment horizontal="center" vertical="center"/>
    </xf>
    <xf numFmtId="0" fontId="4" fillId="8" borderId="33" xfId="0" applyFont="1" applyFill="1" applyBorder="1" applyAlignment="1" applyProtection="1">
      <alignment horizontal="center" vertical="center"/>
    </xf>
    <xf numFmtId="0" fontId="6" fillId="8" borderId="2" xfId="0" applyFont="1" applyFill="1" applyBorder="1" applyAlignment="1" applyProtection="1">
      <alignment horizontal="left" vertical="center" shrinkToFit="1"/>
    </xf>
    <xf numFmtId="0" fontId="4" fillId="8" borderId="27" xfId="0" applyFont="1" applyFill="1" applyBorder="1" applyAlignment="1" applyProtection="1">
      <alignment horizontal="center" vertical="center"/>
    </xf>
    <xf numFmtId="0" fontId="9" fillId="0" borderId="40" xfId="0" applyFont="1" applyFill="1" applyBorder="1" applyAlignment="1" applyProtection="1">
      <alignment horizontal="center" vertical="center"/>
      <protection locked="0"/>
    </xf>
    <xf numFmtId="0" fontId="9" fillId="0" borderId="45" xfId="0" applyFont="1" applyFill="1" applyBorder="1" applyAlignment="1" applyProtection="1">
      <alignment horizontal="center" vertical="center"/>
      <protection locked="0"/>
    </xf>
    <xf numFmtId="0" fontId="9" fillId="0" borderId="44"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protection locked="0"/>
    </xf>
    <xf numFmtId="0" fontId="0" fillId="4" borderId="40" xfId="0" applyFont="1" applyFill="1" applyBorder="1" applyAlignment="1" applyProtection="1">
      <alignment horizontal="center" vertical="center"/>
    </xf>
    <xf numFmtId="0" fontId="0" fillId="4" borderId="45" xfId="0" applyFont="1" applyFill="1" applyBorder="1" applyAlignment="1" applyProtection="1">
      <alignment horizontal="center" vertical="center"/>
    </xf>
    <xf numFmtId="0" fontId="0" fillId="4" borderId="44" xfId="0" applyFont="1" applyFill="1" applyBorder="1" applyAlignment="1" applyProtection="1">
      <alignment horizontal="center" vertical="center"/>
    </xf>
    <xf numFmtId="0" fontId="5" fillId="4" borderId="45" xfId="0" applyFont="1" applyFill="1" applyBorder="1" applyAlignment="1" applyProtection="1">
      <alignment horizontal="center"/>
    </xf>
    <xf numFmtId="0" fontId="19" fillId="0" borderId="40" xfId="0" applyFont="1" applyFill="1" applyBorder="1" applyAlignment="1" applyProtection="1">
      <alignment horizontal="center" vertical="center"/>
      <protection locked="0"/>
    </xf>
    <xf numFmtId="0" fontId="19" fillId="0" borderId="45" xfId="0" applyFont="1" applyFill="1" applyBorder="1" applyAlignment="1" applyProtection="1">
      <alignment horizontal="center" vertical="center"/>
      <protection locked="0"/>
    </xf>
    <xf numFmtId="178" fontId="2" fillId="8" borderId="0" xfId="0" applyNumberFormat="1" applyFont="1" applyFill="1" applyBorder="1" applyAlignment="1" applyProtection="1">
      <alignment horizontal="left" shrinkToFit="1"/>
      <protection locked="0"/>
    </xf>
    <xf numFmtId="0" fontId="20" fillId="8" borderId="0" xfId="0" applyFont="1" applyFill="1" applyBorder="1" applyAlignment="1" applyProtection="1">
      <alignment horizontal="left" vertical="center"/>
      <protection locked="0"/>
    </xf>
    <xf numFmtId="0" fontId="20" fillId="8" borderId="3" xfId="0" applyFont="1" applyFill="1" applyBorder="1" applyAlignment="1" applyProtection="1">
      <alignment horizontal="left" vertical="center"/>
      <protection locked="0"/>
    </xf>
    <xf numFmtId="49" fontId="4" fillId="8" borderId="31" xfId="0" applyNumberFormat="1" applyFont="1" applyFill="1" applyBorder="1" applyAlignment="1">
      <alignment horizontal="left" vertical="center"/>
    </xf>
    <xf numFmtId="49" fontId="4" fillId="8" borderId="32" xfId="0" applyNumberFormat="1" applyFont="1" applyFill="1" applyBorder="1" applyAlignment="1">
      <alignment horizontal="left" vertical="center"/>
    </xf>
    <xf numFmtId="0" fontId="21" fillId="8" borderId="0" xfId="0" applyFont="1" applyFill="1" applyBorder="1" applyAlignment="1" applyProtection="1">
      <alignment horizontal="left" vertical="center" shrinkToFit="1"/>
    </xf>
    <xf numFmtId="0" fontId="21" fillId="8" borderId="3" xfId="0" applyFont="1" applyFill="1" applyBorder="1" applyAlignment="1" applyProtection="1">
      <alignment horizontal="left" vertical="center" shrinkToFit="1"/>
    </xf>
    <xf numFmtId="0" fontId="20" fillId="8" borderId="0" xfId="0" applyFont="1" applyFill="1" applyBorder="1" applyAlignment="1" applyProtection="1">
      <alignment horizontal="left" vertical="center" shrinkToFit="1"/>
      <protection locked="0"/>
    </xf>
    <xf numFmtId="0" fontId="20" fillId="8" borderId="3" xfId="0" applyFont="1" applyFill="1" applyBorder="1" applyAlignment="1" applyProtection="1">
      <alignment horizontal="left" vertical="center" shrinkToFit="1"/>
      <protection locked="0"/>
    </xf>
    <xf numFmtId="0" fontId="4" fillId="8" borderId="28" xfId="0" applyFont="1" applyFill="1" applyBorder="1" applyAlignment="1">
      <alignment horizontal="center" vertical="center"/>
    </xf>
    <xf numFmtId="0" fontId="4" fillId="8" borderId="29" xfId="0" applyFont="1" applyFill="1" applyBorder="1" applyAlignment="1">
      <alignment horizontal="center" vertical="center"/>
    </xf>
    <xf numFmtId="0" fontId="0" fillId="4" borderId="6" xfId="0" applyFill="1" applyBorder="1" applyAlignment="1" applyProtection="1">
      <alignment horizontal="center" vertical="center"/>
    </xf>
    <xf numFmtId="0" fontId="6" fillId="8" borderId="56" xfId="0" applyFont="1" applyFill="1" applyBorder="1" applyAlignment="1" applyProtection="1">
      <alignment horizontal="center" vertical="center" shrinkToFit="1"/>
      <protection locked="0"/>
    </xf>
    <xf numFmtId="0" fontId="6" fillId="8" borderId="54" xfId="0" applyFont="1" applyFill="1" applyBorder="1" applyAlignment="1" applyProtection="1">
      <alignment horizontal="center" vertical="center" shrinkToFit="1"/>
      <protection locked="0"/>
    </xf>
    <xf numFmtId="0" fontId="6" fillId="8" borderId="55" xfId="0" applyFont="1" applyFill="1" applyBorder="1" applyAlignment="1" applyProtection="1">
      <alignment horizontal="center" vertical="center" shrinkToFit="1"/>
      <protection locked="0"/>
    </xf>
    <xf numFmtId="0" fontId="11" fillId="8" borderId="20" xfId="0" applyFont="1" applyFill="1" applyBorder="1" applyAlignment="1">
      <alignment horizontal="right" vertical="center"/>
    </xf>
    <xf numFmtId="0" fontId="11" fillId="8" borderId="21" xfId="0" applyFont="1" applyFill="1" applyBorder="1" applyAlignment="1">
      <alignment horizontal="right" vertical="center"/>
    </xf>
    <xf numFmtId="176" fontId="3" fillId="8" borderId="0" xfId="0" applyNumberFormat="1" applyFont="1" applyFill="1" applyBorder="1" applyAlignment="1" applyProtection="1">
      <alignment horizontal="left"/>
    </xf>
    <xf numFmtId="0" fontId="26" fillId="0" borderId="40" xfId="0" applyFont="1" applyFill="1" applyBorder="1" applyAlignment="1" applyProtection="1">
      <alignment horizontal="center" vertical="center"/>
      <protection locked="0"/>
    </xf>
    <xf numFmtId="0" fontId="26" fillId="0" borderId="45" xfId="0" applyFont="1" applyFill="1" applyBorder="1" applyAlignment="1" applyProtection="1">
      <alignment horizontal="center" vertical="center"/>
      <protection locked="0"/>
    </xf>
    <xf numFmtId="0" fontId="0" fillId="4" borderId="43" xfId="0" applyFont="1" applyFill="1" applyBorder="1" applyAlignment="1" applyProtection="1">
      <alignment horizontal="center" vertical="center"/>
    </xf>
    <xf numFmtId="0" fontId="4" fillId="8" borderId="17" xfId="0" applyFont="1" applyFill="1" applyBorder="1" applyAlignment="1" applyProtection="1">
      <alignment vertical="center"/>
    </xf>
    <xf numFmtId="0" fontId="4" fillId="8" borderId="18" xfId="0" applyFont="1" applyFill="1" applyBorder="1" applyAlignment="1" applyProtection="1">
      <alignment vertical="center"/>
    </xf>
    <xf numFmtId="0" fontId="4" fillId="8" borderId="58" xfId="0" applyFont="1" applyFill="1" applyBorder="1" applyAlignment="1" applyProtection="1">
      <alignment horizontal="center" vertical="center"/>
    </xf>
    <xf numFmtId="0" fontId="4" fillId="8" borderId="59" xfId="0" applyFont="1" applyFill="1" applyBorder="1" applyAlignment="1" applyProtection="1">
      <alignment horizontal="center" vertical="center"/>
    </xf>
    <xf numFmtId="0" fontId="4" fillId="8" borderId="60" xfId="0" applyFont="1" applyFill="1" applyBorder="1" applyAlignment="1" applyProtection="1">
      <alignment horizontal="center" vertical="center"/>
    </xf>
    <xf numFmtId="0" fontId="2" fillId="3" borderId="0" xfId="0" applyNumberFormat="1" applyFont="1" applyFill="1" applyAlignment="1" applyProtection="1">
      <alignment horizontal="left"/>
    </xf>
    <xf numFmtId="0" fontId="0" fillId="8" borderId="20" xfId="0" applyFont="1" applyFill="1" applyBorder="1" applyAlignment="1">
      <alignment horizontal="center" vertical="center"/>
    </xf>
    <xf numFmtId="0" fontId="0" fillId="8" borderId="21" xfId="0" applyFont="1" applyFill="1" applyBorder="1" applyAlignment="1">
      <alignment horizontal="center" vertical="center"/>
    </xf>
    <xf numFmtId="0" fontId="0" fillId="8" borderId="23" xfId="0" applyFont="1" applyFill="1" applyBorder="1" applyAlignment="1">
      <alignment horizontal="center" vertical="center"/>
    </xf>
    <xf numFmtId="0" fontId="11" fillId="8" borderId="21" xfId="0" applyFont="1" applyFill="1" applyBorder="1" applyAlignment="1">
      <alignment horizontal="left" vertical="center"/>
    </xf>
    <xf numFmtId="0" fontId="11" fillId="8" borderId="22" xfId="0" applyFont="1" applyFill="1" applyBorder="1" applyAlignment="1">
      <alignment horizontal="left" vertical="center"/>
    </xf>
    <xf numFmtId="0" fontId="14" fillId="8" borderId="21" xfId="0" applyFont="1" applyFill="1" applyBorder="1" applyAlignment="1">
      <alignment horizontal="left" vertical="center" shrinkToFit="1"/>
    </xf>
    <xf numFmtId="0" fontId="14" fillId="8" borderId="22" xfId="0" applyFont="1" applyFill="1" applyBorder="1" applyAlignment="1">
      <alignment horizontal="left" vertical="center" shrinkToFit="1"/>
    </xf>
    <xf numFmtId="0" fontId="2" fillId="3" borderId="0" xfId="0" applyFont="1" applyFill="1" applyAlignment="1" applyProtection="1">
      <alignment horizontal="center"/>
    </xf>
    <xf numFmtId="0" fontId="6" fillId="8" borderId="20" xfId="0" applyFont="1" applyFill="1" applyBorder="1" applyAlignment="1">
      <alignment horizontal="center" vertical="center"/>
    </xf>
    <xf numFmtId="0" fontId="6" fillId="8" borderId="21" xfId="0" applyFont="1" applyFill="1" applyBorder="1" applyAlignment="1">
      <alignment horizontal="center" vertical="center"/>
    </xf>
    <xf numFmtId="0" fontId="6" fillId="8" borderId="23" xfId="0" applyFont="1" applyFill="1" applyBorder="1" applyAlignment="1">
      <alignment horizontal="center" vertical="center"/>
    </xf>
    <xf numFmtId="0" fontId="4" fillId="8" borderId="0" xfId="0" applyFont="1" applyFill="1" applyBorder="1" applyAlignment="1" applyProtection="1">
      <alignment horizontal="left" vertical="top"/>
    </xf>
    <xf numFmtId="0" fontId="31" fillId="8" borderId="19" xfId="0" applyFont="1" applyFill="1" applyBorder="1" applyAlignment="1">
      <alignment horizontal="center" vertical="center"/>
    </xf>
    <xf numFmtId="0" fontId="4" fillId="8" borderId="0" xfId="0" applyFont="1" applyFill="1" applyBorder="1" applyAlignment="1">
      <alignment horizontal="left" vertical="center"/>
    </xf>
    <xf numFmtId="0" fontId="4" fillId="8" borderId="3" xfId="0" applyFont="1" applyFill="1" applyBorder="1" applyAlignment="1">
      <alignment horizontal="left" vertical="center"/>
    </xf>
    <xf numFmtId="0" fontId="2" fillId="0" borderId="0" xfId="0" applyFont="1" applyFill="1" applyBorder="1" applyAlignment="1" applyProtection="1"/>
    <xf numFmtId="176" fontId="0" fillId="3" borderId="0" xfId="0" applyNumberFormat="1" applyFill="1" applyAlignment="1">
      <alignment horizontal="left"/>
    </xf>
    <xf numFmtId="0" fontId="4" fillId="8" borderId="58" xfId="0" applyFont="1" applyFill="1" applyBorder="1" applyAlignment="1">
      <alignment horizontal="center" vertical="center"/>
    </xf>
    <xf numFmtId="0" fontId="4" fillId="8" borderId="59" xfId="0" applyFont="1" applyFill="1" applyBorder="1" applyAlignment="1">
      <alignment horizontal="center" vertical="center"/>
    </xf>
    <xf numFmtId="0" fontId="4" fillId="8" borderId="60" xfId="0" applyFont="1" applyFill="1" applyBorder="1" applyAlignment="1">
      <alignment horizontal="center" vertical="center"/>
    </xf>
    <xf numFmtId="0" fontId="4" fillId="8" borderId="61" xfId="0" applyFont="1" applyFill="1" applyBorder="1" applyAlignment="1" applyProtection="1">
      <alignment horizontal="center" vertical="center"/>
    </xf>
    <xf numFmtId="179" fontId="4" fillId="8" borderId="17" xfId="0" applyNumberFormat="1" applyFont="1" applyFill="1" applyBorder="1" applyAlignment="1" applyProtection="1">
      <alignment horizontal="right" vertical="center" indent="1"/>
    </xf>
    <xf numFmtId="179" fontId="0" fillId="0" borderId="15" xfId="0" applyNumberFormat="1" applyBorder="1" applyAlignment="1">
      <alignment horizontal="right" indent="1"/>
    </xf>
    <xf numFmtId="179" fontId="0" fillId="0" borderId="16" xfId="0" applyNumberFormat="1" applyBorder="1" applyAlignment="1">
      <alignment horizontal="right" indent="1"/>
    </xf>
    <xf numFmtId="0" fontId="0" fillId="0" borderId="37" xfId="0" applyBorder="1" applyAlignment="1">
      <alignment horizontal="center" vertical="center"/>
    </xf>
    <xf numFmtId="179" fontId="3" fillId="14" borderId="37" xfId="1" applyNumberFormat="1" applyFont="1" applyFill="1" applyBorder="1" applyAlignment="1">
      <alignment horizontal="left" vertical="center"/>
    </xf>
    <xf numFmtId="179" fontId="3" fillId="14" borderId="37" xfId="1" applyNumberFormat="1" applyFont="1" applyFill="1" applyBorder="1" applyAlignment="1">
      <alignment horizontal="left" vertical="center" wrapText="1"/>
    </xf>
    <xf numFmtId="0" fontId="0" fillId="0" borderId="10" xfId="0" applyBorder="1" applyAlignment="1">
      <alignment horizontal="center" vertical="center"/>
    </xf>
    <xf numFmtId="0" fontId="0" fillId="0" borderId="0" xfId="0" applyBorder="1" applyAlignment="1">
      <alignment horizontal="center" vertical="center"/>
    </xf>
    <xf numFmtId="0" fontId="0" fillId="0" borderId="9" xfId="0" applyBorder="1" applyAlignment="1">
      <alignment horizontal="center" vertical="center" wrapText="1"/>
    </xf>
    <xf numFmtId="0" fontId="13" fillId="10" borderId="37" xfId="0" applyFont="1" applyFill="1" applyBorder="1" applyAlignment="1">
      <alignment horizontal="center" vertical="center"/>
    </xf>
    <xf numFmtId="0" fontId="0" fillId="0" borderId="41" xfId="0" applyBorder="1" applyAlignment="1">
      <alignment horizontal="center" vertical="center" wrapText="1"/>
    </xf>
    <xf numFmtId="0" fontId="0" fillId="0" borderId="13" xfId="0" applyBorder="1" applyAlignment="1">
      <alignment horizontal="center" vertical="center" wrapText="1"/>
    </xf>
    <xf numFmtId="0" fontId="0" fillId="0" borderId="43" xfId="0" applyBorder="1" applyAlignment="1">
      <alignment horizontal="center" vertical="center"/>
    </xf>
    <xf numFmtId="0" fontId="0" fillId="0" borderId="9" xfId="0" applyBorder="1" applyAlignment="1">
      <alignment horizontal="center" vertical="center"/>
    </xf>
    <xf numFmtId="0" fontId="0" fillId="0" borderId="43" xfId="0" applyBorder="1" applyAlignment="1">
      <alignment horizontal="center" vertical="center" wrapText="1"/>
    </xf>
    <xf numFmtId="176" fontId="0" fillId="0" borderId="12" xfId="0" applyNumberFormat="1" applyBorder="1" applyAlignment="1">
      <alignment horizontal="left" vertical="center" wrapText="1"/>
    </xf>
    <xf numFmtId="176" fontId="0" fillId="5" borderId="8" xfId="0" applyNumberFormat="1" applyFill="1" applyBorder="1" applyAlignment="1">
      <alignment horizontal="center" vertical="center"/>
    </xf>
    <xf numFmtId="176" fontId="0" fillId="5" borderId="9" xfId="0" applyNumberFormat="1"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cellXfs>
  <cellStyles count="2">
    <cellStyle name="標準" xfId="0" builtinId="0"/>
    <cellStyle name="標準 2" xfId="1" xr:uid="{00000000-0005-0000-0000-00000100000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3289902280130298E-2"/>
          <c:y val="7.1038440911140574E-2"/>
          <c:w val="0.76872964169381108"/>
          <c:h val="0.8032808318413589"/>
        </c:manualLayout>
      </c:layout>
      <c:lineChart>
        <c:grouping val="standard"/>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cat>
            <c:strRef>
              <c:extLst>
                <c:ext xmlns:c15="http://schemas.microsoft.com/office/drawing/2012/chart" uri="{02D57815-91ED-43cb-92C2-25804820EDAC}">
                  <c15:fullRef>
                    <c15:sqref>データ!$B$2:$D$2</c15:sqref>
                  </c15:fullRef>
                </c:ext>
              </c:extLst>
              <c:f>データ!$B$2:$C$2</c:f>
              <c:strCache>
                <c:ptCount val="2"/>
                <c:pt idx="0">
                  <c:v>13</c:v>
                </c:pt>
                <c:pt idx="1">
                  <c:v>20</c:v>
                </c:pt>
              </c:strCache>
            </c:strRef>
          </c:cat>
          <c:val>
            <c:numRef>
              <c:extLst>
                <c:ext xmlns:c15="http://schemas.microsoft.com/office/drawing/2012/chart" uri="{02D57815-91ED-43cb-92C2-25804820EDAC}">
                  <c15:fullRef>
                    <c15:sqref>データ!$B$3:$D$3</c15:sqref>
                  </c15:fullRef>
                </c:ext>
              </c:extLst>
              <c:f>データ!$B$3:$C$3</c:f>
              <c:numCache>
                <c:formatCode>General</c:formatCode>
                <c:ptCount val="2"/>
                <c:pt idx="0">
                  <c:v>14</c:v>
                </c:pt>
                <c:pt idx="1">
                  <c:v>33</c:v>
                </c:pt>
              </c:numCache>
            </c:numRef>
          </c:val>
          <c:smooth val="0"/>
          <c:extLst>
            <c:ext xmlns:c16="http://schemas.microsoft.com/office/drawing/2014/chart" uri="{C3380CC4-5D6E-409C-BE32-E72D297353CC}">
              <c16:uniqueId val="{00000000-6756-46A8-913D-C741622B1953}"/>
            </c:ext>
          </c:extLst>
        </c:ser>
        <c:dLbls>
          <c:showLegendKey val="0"/>
          <c:showVal val="0"/>
          <c:showCatName val="0"/>
          <c:showSerName val="0"/>
          <c:showPercent val="0"/>
          <c:showBubbleSize val="0"/>
        </c:dLbls>
        <c:marker val="1"/>
        <c:smooth val="0"/>
        <c:axId val="80030112"/>
        <c:axId val="602482384"/>
      </c:lineChart>
      <c:catAx>
        <c:axId val="8003011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602482384"/>
        <c:crosses val="autoZero"/>
        <c:auto val="1"/>
        <c:lblAlgn val="ctr"/>
        <c:lblOffset val="100"/>
        <c:tickLblSkip val="1"/>
        <c:tickMarkSkip val="1"/>
        <c:noMultiLvlLbl val="0"/>
      </c:catAx>
      <c:valAx>
        <c:axId val="602482384"/>
        <c:scaling>
          <c:orientation val="minMax"/>
        </c:scaling>
        <c:delete val="0"/>
        <c:axPos val="l"/>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80030112"/>
        <c:crosses val="autoZero"/>
        <c:crossBetween val="between"/>
      </c:valAx>
      <c:spPr>
        <a:solidFill>
          <a:srgbClr val="C0C0C0"/>
        </a:solidFill>
        <a:ln w="12700">
          <a:solidFill>
            <a:srgbClr val="808080"/>
          </a:solidFill>
          <a:prstDash val="solid"/>
        </a:ln>
      </c:spPr>
    </c:plotArea>
    <c:legend>
      <c:legendPos val="r"/>
      <c:layout>
        <c:manualLayout>
          <c:xMode val="edge"/>
          <c:yMode val="edge"/>
          <c:x val="0.85993485342019549"/>
          <c:y val="0.44535637955830443"/>
          <c:w val="0.12703583061889251"/>
          <c:h val="5.7377202274382776E-2"/>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1</xdr:row>
      <xdr:rowOff>47626</xdr:rowOff>
    </xdr:from>
    <xdr:to>
      <xdr:col>37</xdr:col>
      <xdr:colOff>301631</xdr:colOff>
      <xdr:row>2</xdr:row>
      <xdr:rowOff>223547</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19050" y="47626"/>
          <a:ext cx="10264062" cy="350870"/>
        </a:xfrm>
        <a:prstGeom prst="rect">
          <a:avLst/>
        </a:prstGeom>
        <a:noFill/>
        <a:ln w="9525">
          <a:noFill/>
          <a:miter lim="800000"/>
          <a:headEnd/>
          <a:tailEnd/>
        </a:ln>
      </xdr:spPr>
      <xdr:txBody>
        <a:bodyPr vertOverflow="clip" wrap="square" lIns="45720" tIns="22860" rIns="0" bIns="0" anchor="t" upright="1"/>
        <a:lstStyle/>
        <a:p>
          <a:pPr algn="l" rtl="0">
            <a:defRPr sz="1000"/>
          </a:pPr>
          <a:r>
            <a:rPr lang="ja-JP" altLang="en-US" sz="1800" b="1" i="0" u="none" strike="noStrike" baseline="0">
              <a:solidFill>
                <a:srgbClr val="008000"/>
              </a:solidFill>
              <a:latin typeface="ＭＳ Ｐゴシック"/>
              <a:ea typeface="ＭＳ Ｐゴシック"/>
            </a:rPr>
            <a:t>　給排水衛生設備基準・同解説　</a:t>
          </a:r>
          <a:r>
            <a:rPr lang="en-US" altLang="ja-JP" sz="1800" b="1" i="0" u="none" strike="noStrike" baseline="0">
              <a:solidFill>
                <a:srgbClr val="008000"/>
              </a:solidFill>
              <a:latin typeface="ＭＳ Ｐゴシック"/>
              <a:ea typeface="ＭＳ Ｐゴシック"/>
            </a:rPr>
            <a:t>SHASE-S206-2009</a:t>
          </a:r>
          <a:r>
            <a:rPr lang="ja-JP" altLang="en-US" sz="1800" b="1" i="0" u="none" strike="noStrike" baseline="0">
              <a:solidFill>
                <a:srgbClr val="008000"/>
              </a:solidFill>
              <a:latin typeface="ＭＳ Ｐゴシック"/>
              <a:ea typeface="ＭＳ Ｐゴシック"/>
            </a:rPr>
            <a:t>「オイル阻集器の決定」に基づく選定</a:t>
          </a:r>
          <a:endParaRPr lang="ja-JP" altLang="en-US" sz="1600" b="1" i="0" u="none" strike="noStrike" baseline="0">
            <a:solidFill>
              <a:srgbClr val="008000"/>
            </a:solidFill>
            <a:latin typeface="ＭＳ Ｐゴシック"/>
            <a:ea typeface="ＭＳ Ｐゴシック"/>
          </a:endParaRPr>
        </a:p>
      </xdr:txBody>
    </xdr:sp>
    <xdr:clientData/>
  </xdr:twoCellAnchor>
  <xdr:twoCellAnchor>
    <xdr:from>
      <xdr:col>17</xdr:col>
      <xdr:colOff>189357</xdr:colOff>
      <xdr:row>43</xdr:row>
      <xdr:rowOff>184502</xdr:rowOff>
    </xdr:from>
    <xdr:to>
      <xdr:col>19</xdr:col>
      <xdr:colOff>0</xdr:colOff>
      <xdr:row>45</xdr:row>
      <xdr:rowOff>73159</xdr:rowOff>
    </xdr:to>
    <xdr:sp macro="" textlink="">
      <xdr:nvSpPr>
        <xdr:cNvPr id="4" name="右矢印 3">
          <a:extLst>
            <a:ext uri="{FF2B5EF4-FFF2-40B4-BE49-F238E27FC236}">
              <a16:creationId xmlns:a16="http://schemas.microsoft.com/office/drawing/2014/main" id="{00000000-0008-0000-0000-000004000000}"/>
            </a:ext>
          </a:extLst>
        </xdr:cNvPr>
        <xdr:cNvSpPr/>
      </xdr:nvSpPr>
      <xdr:spPr bwMode="auto">
        <a:xfrm>
          <a:off x="4767926" y="7804502"/>
          <a:ext cx="362436" cy="282795"/>
        </a:xfrm>
        <a:prstGeom prst="right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twoCellAnchor editAs="oneCell">
    <xdr:from>
      <xdr:col>0</xdr:col>
      <xdr:colOff>56030</xdr:colOff>
      <xdr:row>18</xdr:row>
      <xdr:rowOff>63182</xdr:rowOff>
    </xdr:from>
    <xdr:to>
      <xdr:col>8</xdr:col>
      <xdr:colOff>65987</xdr:colOff>
      <xdr:row>20</xdr:row>
      <xdr:rowOff>110251</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030" y="2243799"/>
          <a:ext cx="2194215" cy="610462"/>
        </a:xfrm>
        <a:prstGeom prst="rect">
          <a:avLst/>
        </a:prstGeom>
      </xdr:spPr>
    </xdr:pic>
    <xdr:clientData/>
  </xdr:twoCellAnchor>
  <xdr:oneCellAnchor>
    <xdr:from>
      <xdr:col>32</xdr:col>
      <xdr:colOff>48208</xdr:colOff>
      <xdr:row>21</xdr:row>
      <xdr:rowOff>96804</xdr:rowOff>
    </xdr:from>
    <xdr:ext cx="65" cy="172227"/>
    <xdr:sp macro="" textlink="">
      <xdr:nvSpPr>
        <xdr:cNvPr id="2" name="テキスト ボックス 1">
          <a:extLst>
            <a:ext uri="{FF2B5EF4-FFF2-40B4-BE49-F238E27FC236}">
              <a16:creationId xmlns:a16="http://schemas.microsoft.com/office/drawing/2014/main" id="{8263DAF5-4D05-466A-B694-778F278CBC16}"/>
            </a:ext>
          </a:extLst>
        </xdr:cNvPr>
        <xdr:cNvSpPr txBox="1"/>
      </xdr:nvSpPr>
      <xdr:spPr>
        <a:xfrm>
          <a:off x="8640147" y="5073131"/>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twoCellAnchor editAs="oneCell">
    <xdr:from>
      <xdr:col>0</xdr:col>
      <xdr:colOff>201801</xdr:colOff>
      <xdr:row>0</xdr:row>
      <xdr:rowOff>40360</xdr:rowOff>
    </xdr:from>
    <xdr:to>
      <xdr:col>7</xdr:col>
      <xdr:colOff>201801</xdr:colOff>
      <xdr:row>1</xdr:row>
      <xdr:rowOff>87501</xdr:rowOff>
    </xdr:to>
    <xdr:pic>
      <xdr:nvPicPr>
        <xdr:cNvPr id="6" name="図 5">
          <a:extLst>
            <a:ext uri="{FF2B5EF4-FFF2-40B4-BE49-F238E27FC236}">
              <a16:creationId xmlns:a16="http://schemas.microsoft.com/office/drawing/2014/main" id="{A084A6BC-C9EA-4C9A-84CD-0AF01E5C59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1801" y="40360"/>
          <a:ext cx="190500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323850</xdr:colOff>
      <xdr:row>21</xdr:row>
      <xdr:rowOff>19050</xdr:rowOff>
    </xdr:from>
    <xdr:to>
      <xdr:col>11</xdr:col>
      <xdr:colOff>361950</xdr:colOff>
      <xdr:row>40</xdr:row>
      <xdr:rowOff>66675</xdr:rowOff>
    </xdr:to>
    <xdr:graphicFrame macro="">
      <xdr:nvGraphicFramePr>
        <xdr:cNvPr id="2" name="グラフ 28">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2</xdr:row>
      <xdr:rowOff>76199</xdr:rowOff>
    </xdr:from>
    <xdr:to>
      <xdr:col>8</xdr:col>
      <xdr:colOff>457200</xdr:colOff>
      <xdr:row>36</xdr:row>
      <xdr:rowOff>85724</xdr:rowOff>
    </xdr:to>
    <xdr:sp macro="" textlink="">
      <xdr:nvSpPr>
        <xdr:cNvPr id="2" name="テキスト ボックス 1">
          <a:extLst>
            <a:ext uri="{FF2B5EF4-FFF2-40B4-BE49-F238E27FC236}">
              <a16:creationId xmlns:a16="http://schemas.microsoft.com/office/drawing/2014/main" id="{79C522DE-894D-4995-B96E-316276D575DE}"/>
            </a:ext>
          </a:extLst>
        </xdr:cNvPr>
        <xdr:cNvSpPr txBox="1"/>
      </xdr:nvSpPr>
      <xdr:spPr>
        <a:xfrm>
          <a:off x="704850" y="419099"/>
          <a:ext cx="5238750" cy="583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fontAlgn="base"/>
          <a:r>
            <a:rPr lang="ja-JP" altLang="en-US" sz="1100" b="0" i="0">
              <a:solidFill>
                <a:schemeClr val="dk1"/>
              </a:solidFill>
              <a:effectLst/>
              <a:latin typeface="+mn-lt"/>
              <a:ea typeface="+mn-ea"/>
              <a:cs typeface="+mn-cs"/>
            </a:rPr>
            <a:t>広島営業所　徳嵜様</a:t>
          </a:r>
        </a:p>
        <a:p>
          <a:pPr fontAlgn="base"/>
          <a:br>
            <a:rPr lang="ja-JP" altLang="en-US" sz="1100" b="0" i="0">
              <a:solidFill>
                <a:schemeClr val="dk1"/>
              </a:solidFill>
              <a:effectLst/>
              <a:latin typeface="+mn-lt"/>
              <a:ea typeface="+mn-ea"/>
              <a:cs typeface="+mn-cs"/>
            </a:rPr>
          </a:br>
          <a:endParaRPr lang="ja-JP" altLang="en-US" sz="1100" b="0" i="0">
            <a:solidFill>
              <a:schemeClr val="dk1"/>
            </a:solidFill>
            <a:effectLst/>
            <a:latin typeface="+mn-lt"/>
            <a:ea typeface="+mn-ea"/>
            <a:cs typeface="+mn-cs"/>
          </a:endParaRPr>
        </a:p>
        <a:p>
          <a:pPr fontAlgn="base"/>
          <a:r>
            <a:rPr lang="ja-JP" altLang="en-US" sz="1100" b="0" i="0">
              <a:solidFill>
                <a:schemeClr val="dk1"/>
              </a:solidFill>
              <a:effectLst/>
              <a:latin typeface="+mn-lt"/>
              <a:ea typeface="+mn-ea"/>
              <a:cs typeface="+mn-cs"/>
            </a:rPr>
            <a:t>お世話になっております。</a:t>
          </a:r>
        </a:p>
        <a:p>
          <a:pPr fontAlgn="base"/>
          <a:r>
            <a:rPr lang="ja-JP" altLang="en-US" sz="1100" b="0" i="0">
              <a:solidFill>
                <a:schemeClr val="dk1"/>
              </a:solidFill>
              <a:effectLst/>
              <a:latin typeface="+mn-lt"/>
              <a:ea typeface="+mn-ea"/>
              <a:cs typeface="+mn-cs"/>
            </a:rPr>
            <a:t>お問い合わせの件、まず役所からのご指摘は大正解であり、</a:t>
          </a:r>
          <a:r>
            <a:rPr lang="en-US" altLang="ja-JP" sz="1100" b="0" i="0">
              <a:solidFill>
                <a:schemeClr val="dk1"/>
              </a:solidFill>
              <a:effectLst/>
              <a:latin typeface="+mn-lt"/>
              <a:ea typeface="+mn-ea"/>
              <a:cs typeface="+mn-cs"/>
            </a:rPr>
            <a:t>『SHASE-S 221-2012 </a:t>
          </a:r>
          <a:r>
            <a:rPr lang="ja-JP" altLang="en-US" sz="1100" b="0" i="0">
              <a:solidFill>
                <a:schemeClr val="dk1"/>
              </a:solidFill>
              <a:effectLst/>
              <a:latin typeface="+mn-lt"/>
              <a:ea typeface="+mn-ea"/>
              <a:cs typeface="+mn-cs"/>
            </a:rPr>
            <a:t>オイル阻集器</a:t>
          </a:r>
          <a:r>
            <a:rPr lang="en-US" altLang="ja-JP" sz="1100" b="0" i="0">
              <a:solidFill>
                <a:schemeClr val="dk1"/>
              </a:solidFill>
              <a:effectLst/>
              <a:latin typeface="+mn-lt"/>
              <a:ea typeface="+mn-ea"/>
              <a:cs typeface="+mn-cs"/>
            </a:rPr>
            <a:t>』</a:t>
          </a:r>
          <a:r>
            <a:rPr lang="ja-JP" altLang="en-US" sz="1100" b="0" i="0">
              <a:solidFill>
                <a:schemeClr val="dk1"/>
              </a:solidFill>
              <a:effectLst/>
              <a:latin typeface="+mn-lt"/>
              <a:ea typeface="+mn-ea"/>
              <a:cs typeface="+mn-cs"/>
            </a:rPr>
            <a:t>および</a:t>
          </a:r>
          <a:r>
            <a:rPr lang="en-US" altLang="ja-JP" sz="1100" b="0" i="0">
              <a:solidFill>
                <a:schemeClr val="dk1"/>
              </a:solidFill>
              <a:effectLst/>
              <a:latin typeface="+mn-lt"/>
              <a:ea typeface="+mn-ea"/>
              <a:cs typeface="+mn-cs"/>
            </a:rPr>
            <a:t>『SHASE-S206-2009 </a:t>
          </a:r>
          <a:r>
            <a:rPr lang="ja-JP" altLang="en-US" sz="1100" b="0" i="0">
              <a:solidFill>
                <a:schemeClr val="dk1"/>
              </a:solidFill>
              <a:effectLst/>
              <a:latin typeface="+mn-lt"/>
              <a:ea typeface="+mn-ea"/>
              <a:cs typeface="+mn-cs"/>
            </a:rPr>
            <a:t>給排水衛生設備規準・同解説</a:t>
          </a:r>
          <a:r>
            <a:rPr lang="en-US" altLang="ja-JP" sz="1100" b="0" i="0">
              <a:solidFill>
                <a:schemeClr val="dk1"/>
              </a:solidFill>
              <a:effectLst/>
              <a:latin typeface="+mn-lt"/>
              <a:ea typeface="+mn-ea"/>
              <a:cs typeface="+mn-cs"/>
            </a:rPr>
            <a:t>』</a:t>
          </a:r>
          <a:r>
            <a:rPr lang="ja-JP" altLang="en-US" sz="1100" b="0" i="0">
              <a:solidFill>
                <a:schemeClr val="dk1"/>
              </a:solidFill>
              <a:effectLst/>
              <a:latin typeface="+mn-lt"/>
              <a:ea typeface="+mn-ea"/>
              <a:cs typeface="+mn-cs"/>
            </a:rPr>
            <a:t>に記載されているオイルトラップの算定方法における安全係数</a:t>
          </a:r>
          <a:r>
            <a:rPr lang="en-US" altLang="ja-JP" sz="1100" b="0" i="0">
              <a:solidFill>
                <a:schemeClr val="dk1"/>
              </a:solidFill>
              <a:effectLst/>
              <a:latin typeface="+mn-lt"/>
              <a:ea typeface="+mn-ea"/>
              <a:cs typeface="+mn-cs"/>
            </a:rPr>
            <a:t>k</a:t>
          </a:r>
          <a:r>
            <a:rPr lang="ja-JP" altLang="en-US" sz="1100" b="0" i="0">
              <a:solidFill>
                <a:schemeClr val="dk1"/>
              </a:solidFill>
              <a:effectLst/>
              <a:latin typeface="+mn-lt"/>
              <a:ea typeface="+mn-ea"/>
              <a:cs typeface="+mn-cs"/>
            </a:rPr>
            <a:t>の標準値は</a:t>
          </a:r>
          <a:r>
            <a:rPr lang="en-US" altLang="ja-JP" sz="1100" b="1" i="0">
              <a:solidFill>
                <a:schemeClr val="dk1"/>
              </a:solidFill>
              <a:effectLst/>
              <a:latin typeface="+mn-lt"/>
              <a:ea typeface="+mn-ea"/>
              <a:cs typeface="+mn-cs"/>
            </a:rPr>
            <a:t>10</a:t>
          </a:r>
          <a:r>
            <a:rPr lang="ja-JP" altLang="en-US" sz="1100" b="0" i="0">
              <a:solidFill>
                <a:schemeClr val="dk1"/>
              </a:solidFill>
              <a:effectLst/>
              <a:latin typeface="+mn-lt"/>
              <a:ea typeface="+mn-ea"/>
              <a:cs typeface="+mn-cs"/>
            </a:rPr>
            <a:t>となっています。</a:t>
          </a:r>
        </a:p>
        <a:p>
          <a:pPr fontAlgn="base"/>
          <a:r>
            <a:rPr lang="ja-JP" altLang="en-US" sz="1100" b="0" i="0">
              <a:solidFill>
                <a:schemeClr val="dk1"/>
              </a:solidFill>
              <a:effectLst/>
              <a:latin typeface="+mn-lt"/>
              <a:ea typeface="+mn-ea"/>
              <a:cs typeface="+mn-cs"/>
            </a:rPr>
            <a:t>オイルトラップは生態系への影響が大きい鉱物油（ガソリン等）の流出を抑止するために使用するので、グリーストラップよりも大きい安全係数となっています。</a:t>
          </a:r>
        </a:p>
        <a:p>
          <a:pPr fontAlgn="base"/>
          <a:r>
            <a:rPr lang="ja-JP" altLang="en-US" sz="1100" b="0" i="0">
              <a:solidFill>
                <a:schemeClr val="dk1"/>
              </a:solidFill>
              <a:effectLst/>
              <a:latin typeface="+mn-lt"/>
              <a:ea typeface="+mn-ea"/>
              <a:cs typeface="+mn-cs"/>
            </a:rPr>
            <a:t>当社のオイルトラップの算定式も</a:t>
          </a:r>
          <a:r>
            <a:rPr lang="en-US" altLang="ja-JP" sz="1100" b="0" i="0">
              <a:solidFill>
                <a:schemeClr val="dk1"/>
              </a:solidFill>
              <a:effectLst/>
              <a:latin typeface="+mn-lt"/>
              <a:ea typeface="+mn-ea"/>
              <a:cs typeface="+mn-cs"/>
            </a:rPr>
            <a:t>『SHASE-S206-2009』</a:t>
          </a:r>
          <a:r>
            <a:rPr lang="ja-JP" altLang="en-US" sz="1100" b="0" i="0">
              <a:solidFill>
                <a:schemeClr val="dk1"/>
              </a:solidFill>
              <a:effectLst/>
              <a:latin typeface="+mn-lt"/>
              <a:ea typeface="+mn-ea"/>
              <a:cs typeface="+mn-cs"/>
            </a:rPr>
            <a:t>を準拠しているので、カタログや算定ソフトのシート①にも安全係数</a:t>
          </a:r>
          <a:r>
            <a:rPr lang="en-US" altLang="ja-JP" sz="1100" b="1" i="0">
              <a:solidFill>
                <a:schemeClr val="dk1"/>
              </a:solidFill>
              <a:effectLst/>
              <a:latin typeface="+mn-lt"/>
              <a:ea typeface="+mn-ea"/>
              <a:cs typeface="+mn-cs"/>
            </a:rPr>
            <a:t>k</a:t>
          </a:r>
          <a:r>
            <a:rPr lang="ja-JP" altLang="en-US" sz="1100" b="1" i="0">
              <a:solidFill>
                <a:schemeClr val="dk1"/>
              </a:solidFill>
              <a:effectLst/>
              <a:latin typeface="+mn-lt"/>
              <a:ea typeface="+mn-ea"/>
              <a:cs typeface="+mn-cs"/>
            </a:rPr>
            <a:t>＝</a:t>
          </a:r>
          <a:r>
            <a:rPr lang="en-US" altLang="ja-JP" sz="1100" b="1" i="0">
              <a:solidFill>
                <a:schemeClr val="dk1"/>
              </a:solidFill>
              <a:effectLst/>
              <a:latin typeface="+mn-lt"/>
              <a:ea typeface="+mn-ea"/>
              <a:cs typeface="+mn-cs"/>
            </a:rPr>
            <a:t>10</a:t>
          </a:r>
          <a:r>
            <a:rPr lang="ja-JP" altLang="en-US" sz="1100" b="0" i="0">
              <a:solidFill>
                <a:schemeClr val="dk1"/>
              </a:solidFill>
              <a:effectLst/>
              <a:latin typeface="+mn-lt"/>
              <a:ea typeface="+mn-ea"/>
              <a:cs typeface="+mn-cs"/>
            </a:rPr>
            <a:t>が標準として掲載されています。</a:t>
          </a:r>
        </a:p>
        <a:p>
          <a:pPr fontAlgn="base"/>
          <a:br>
            <a:rPr lang="ja-JP" altLang="en-US" sz="1100" b="0" i="0">
              <a:solidFill>
                <a:schemeClr val="dk1"/>
              </a:solidFill>
              <a:effectLst/>
              <a:latin typeface="+mn-lt"/>
              <a:ea typeface="+mn-ea"/>
              <a:cs typeface="+mn-cs"/>
            </a:rPr>
          </a:br>
          <a:endParaRPr lang="ja-JP" altLang="en-US" sz="1100" b="0" i="0">
            <a:solidFill>
              <a:schemeClr val="dk1"/>
            </a:solidFill>
            <a:effectLst/>
            <a:latin typeface="+mn-lt"/>
            <a:ea typeface="+mn-ea"/>
            <a:cs typeface="+mn-cs"/>
          </a:endParaRPr>
        </a:p>
        <a:p>
          <a:pPr fontAlgn="base"/>
          <a:r>
            <a:rPr lang="ja-JP" altLang="en-US" sz="1100" b="0" i="0">
              <a:solidFill>
                <a:schemeClr val="dk1"/>
              </a:solidFill>
              <a:effectLst/>
              <a:latin typeface="+mn-lt"/>
              <a:ea typeface="+mn-ea"/>
              <a:cs typeface="+mn-cs"/>
            </a:rPr>
            <a:t>今回、お客様が使用したのは算定ソフトのシート②と思われ、こちらは単純に合計使用水量が許容流入流量を上回らないかを算定する</a:t>
          </a:r>
          <a:r>
            <a:rPr lang="ja-JP" altLang="en-US" sz="1100" b="1" i="0">
              <a:solidFill>
                <a:schemeClr val="dk1"/>
              </a:solidFill>
              <a:effectLst/>
              <a:latin typeface="+mn-lt"/>
              <a:ea typeface="+mn-ea"/>
              <a:cs typeface="+mn-cs"/>
            </a:rPr>
            <a:t>当社独自</a:t>
          </a:r>
          <a:r>
            <a:rPr lang="ja-JP" altLang="en-US" sz="1100" b="0" i="0">
              <a:solidFill>
                <a:schemeClr val="dk1"/>
              </a:solidFill>
              <a:effectLst/>
              <a:latin typeface="+mn-lt"/>
              <a:ea typeface="+mn-ea"/>
              <a:cs typeface="+mn-cs"/>
            </a:rPr>
            <a:t>の方法であり、グリース・ランドリー・プラスタートラップと共通のものです。</a:t>
          </a:r>
        </a:p>
        <a:p>
          <a:pPr fontAlgn="base"/>
          <a:r>
            <a:rPr lang="ja-JP" altLang="en-US" sz="1100" b="0" i="0">
              <a:solidFill>
                <a:schemeClr val="dk1"/>
              </a:solidFill>
              <a:effectLst/>
              <a:latin typeface="+mn-lt"/>
              <a:ea typeface="+mn-ea"/>
              <a:cs typeface="+mn-cs"/>
            </a:rPr>
            <a:t>よって、オイルトラップ用の算定式ではないため、安全係数が水栓個数を考慮した数値となってしまっています。</a:t>
          </a:r>
        </a:p>
        <a:p>
          <a:pPr fontAlgn="base"/>
          <a:r>
            <a:rPr lang="ja-JP" altLang="en-US" sz="1100" b="0" i="0">
              <a:solidFill>
                <a:schemeClr val="dk1"/>
              </a:solidFill>
              <a:effectLst/>
              <a:latin typeface="+mn-lt"/>
              <a:ea typeface="+mn-ea"/>
              <a:cs typeface="+mn-cs"/>
            </a:rPr>
            <a:t>安全係数が</a:t>
          </a:r>
          <a:r>
            <a:rPr lang="en-US" altLang="ja-JP" sz="1100" b="0" i="0">
              <a:solidFill>
                <a:schemeClr val="dk1"/>
              </a:solidFill>
              <a:effectLst/>
              <a:latin typeface="+mn-lt"/>
              <a:ea typeface="+mn-ea"/>
              <a:cs typeface="+mn-cs"/>
            </a:rPr>
            <a:t>2</a:t>
          </a:r>
          <a:r>
            <a:rPr lang="ja-JP" altLang="en-US" sz="1100" b="0" i="0">
              <a:solidFill>
                <a:schemeClr val="dk1"/>
              </a:solidFill>
              <a:effectLst/>
              <a:latin typeface="+mn-lt"/>
              <a:ea typeface="+mn-ea"/>
              <a:cs typeface="+mn-cs"/>
            </a:rPr>
            <a:t>となる根拠は、カタログ</a:t>
          </a:r>
          <a:r>
            <a:rPr lang="en-US" altLang="ja-JP" sz="1100" b="0" i="0">
              <a:solidFill>
                <a:schemeClr val="dk1"/>
              </a:solidFill>
              <a:effectLst/>
              <a:latin typeface="+mn-lt"/>
              <a:ea typeface="+mn-ea"/>
              <a:cs typeface="+mn-cs"/>
            </a:rPr>
            <a:t>P125</a:t>
          </a:r>
          <a:r>
            <a:rPr lang="ja-JP" altLang="en-US" sz="1100" b="0" i="0">
              <a:solidFill>
                <a:schemeClr val="dk1"/>
              </a:solidFill>
              <a:effectLst/>
              <a:latin typeface="+mn-lt"/>
              <a:ea typeface="+mn-ea"/>
              <a:cs typeface="+mn-cs"/>
            </a:rPr>
            <a:t>に掲載されている</a:t>
          </a:r>
          <a:r>
            <a:rPr lang="en-US" altLang="ja-JP" sz="1100" b="0" i="0">
              <a:solidFill>
                <a:schemeClr val="dk1"/>
              </a:solidFill>
              <a:effectLst/>
              <a:latin typeface="+mn-lt"/>
              <a:ea typeface="+mn-ea"/>
              <a:cs typeface="+mn-cs"/>
            </a:rPr>
            <a:t>SHASE-S206-2009</a:t>
          </a:r>
          <a:r>
            <a:rPr lang="ja-JP" altLang="en-US" sz="1100" b="0" i="0">
              <a:solidFill>
                <a:schemeClr val="dk1"/>
              </a:solidFill>
              <a:effectLst/>
              <a:latin typeface="+mn-lt"/>
              <a:ea typeface="+mn-ea"/>
              <a:cs typeface="+mn-cs"/>
            </a:rPr>
            <a:t>より抜粋した“水栓の個数に対する同時使用率と安全率”の表からとなります。</a:t>
          </a:r>
          <a:br>
            <a:rPr lang="ja-JP" altLang="en-US" sz="1100" b="0" i="0">
              <a:solidFill>
                <a:schemeClr val="dk1"/>
              </a:solidFill>
              <a:effectLst/>
              <a:latin typeface="+mn-lt"/>
              <a:ea typeface="+mn-ea"/>
              <a:cs typeface="+mn-cs"/>
            </a:rPr>
          </a:br>
          <a:endParaRPr lang="ja-JP" altLang="en-US" sz="1100" b="0" i="0">
            <a:solidFill>
              <a:schemeClr val="dk1"/>
            </a:solidFill>
            <a:effectLst/>
            <a:latin typeface="+mn-lt"/>
            <a:ea typeface="+mn-ea"/>
            <a:cs typeface="+mn-cs"/>
          </a:endParaRPr>
        </a:p>
        <a:p>
          <a:pPr fontAlgn="base"/>
          <a:br>
            <a:rPr lang="ja-JP" altLang="en-US" sz="1100" b="0" i="0">
              <a:solidFill>
                <a:schemeClr val="dk1"/>
              </a:solidFill>
              <a:effectLst/>
              <a:latin typeface="+mn-lt"/>
              <a:ea typeface="+mn-ea"/>
              <a:cs typeface="+mn-cs"/>
            </a:rPr>
          </a:br>
          <a:endParaRPr lang="ja-JP" altLang="en-US" sz="1100" b="0" i="0">
            <a:solidFill>
              <a:schemeClr val="dk1"/>
            </a:solidFill>
            <a:effectLst/>
            <a:latin typeface="+mn-lt"/>
            <a:ea typeface="+mn-ea"/>
            <a:cs typeface="+mn-cs"/>
          </a:endParaRPr>
        </a:p>
        <a:p>
          <a:pPr fontAlgn="base"/>
          <a:r>
            <a:rPr lang="ja-JP" altLang="en-US" sz="1100" b="0" i="0">
              <a:solidFill>
                <a:schemeClr val="dk1"/>
              </a:solidFill>
              <a:effectLst/>
              <a:latin typeface="+mn-lt"/>
              <a:ea typeface="+mn-ea"/>
              <a:cs typeface="+mn-cs"/>
            </a:rPr>
            <a:t>個人的な見解としては、このシート②は今回のような矛盾が生じるので、掲載してしまったのは当社のミスと考えます。</a:t>
          </a:r>
        </a:p>
        <a:p>
          <a:pPr fontAlgn="base"/>
          <a:r>
            <a:rPr lang="ja-JP" altLang="en-US" sz="1100" b="0" i="0">
              <a:solidFill>
                <a:schemeClr val="dk1"/>
              </a:solidFill>
              <a:effectLst/>
              <a:latin typeface="+mn-lt"/>
              <a:ea typeface="+mn-ea"/>
              <a:cs typeface="+mn-cs"/>
            </a:rPr>
            <a:t>（最新のバージョン更新の時に付け加えてしまったようで・・・）</a:t>
          </a:r>
        </a:p>
        <a:p>
          <a:pPr fontAlgn="base"/>
          <a:r>
            <a:rPr lang="ja-JP" altLang="en-US" sz="1100" b="0" i="0">
              <a:solidFill>
                <a:schemeClr val="dk1"/>
              </a:solidFill>
              <a:effectLst/>
              <a:latin typeface="+mn-lt"/>
              <a:ea typeface="+mn-ea"/>
              <a:cs typeface="+mn-cs"/>
            </a:rPr>
            <a:t>出来ましたら、シート①の方が</a:t>
          </a:r>
          <a:r>
            <a:rPr lang="en-US" altLang="ja-JP" sz="1100" b="0" i="0">
              <a:solidFill>
                <a:schemeClr val="dk1"/>
              </a:solidFill>
              <a:effectLst/>
              <a:latin typeface="+mn-lt"/>
              <a:ea typeface="+mn-ea"/>
              <a:cs typeface="+mn-cs"/>
            </a:rPr>
            <a:t>SHASE</a:t>
          </a:r>
          <a:r>
            <a:rPr lang="ja-JP" altLang="en-US" sz="1100" b="0" i="0">
              <a:solidFill>
                <a:schemeClr val="dk1"/>
              </a:solidFill>
              <a:effectLst/>
              <a:latin typeface="+mn-lt"/>
              <a:ea typeface="+mn-ea"/>
              <a:cs typeface="+mn-cs"/>
            </a:rPr>
            <a:t>規格に則ったオイルトラップ用の算定式ですので、こちらで算定し直していただいた方か良いかと存じます。</a:t>
          </a:r>
        </a:p>
        <a:p>
          <a:pPr fontAlgn="base"/>
          <a:br>
            <a:rPr lang="ja-JP" altLang="en-US" sz="1100" b="0" i="0">
              <a:solidFill>
                <a:schemeClr val="dk1"/>
              </a:solidFill>
              <a:effectLst/>
              <a:latin typeface="+mn-lt"/>
              <a:ea typeface="+mn-ea"/>
              <a:cs typeface="+mn-cs"/>
            </a:rPr>
          </a:br>
          <a:endParaRPr lang="ja-JP" altLang="en-US" sz="1100" b="0" i="0">
            <a:solidFill>
              <a:schemeClr val="dk1"/>
            </a:solidFill>
            <a:effectLst/>
            <a:latin typeface="+mn-lt"/>
            <a:ea typeface="+mn-ea"/>
            <a:cs typeface="+mn-cs"/>
          </a:endParaRPr>
        </a:p>
        <a:p>
          <a:pPr fontAlgn="base"/>
          <a:r>
            <a:rPr lang="ja-JP" altLang="en-US" sz="1100" b="0" i="0">
              <a:solidFill>
                <a:schemeClr val="dk1"/>
              </a:solidFill>
              <a:effectLst/>
              <a:latin typeface="+mn-lt"/>
              <a:ea typeface="+mn-ea"/>
              <a:cs typeface="+mn-cs"/>
            </a:rPr>
            <a:t>シート②は即刻削除致します。</a:t>
          </a:r>
        </a:p>
        <a:p>
          <a:pPr fontAlgn="base"/>
          <a:r>
            <a:rPr lang="ja-JP" altLang="en-US" sz="1100" b="0" i="0">
              <a:solidFill>
                <a:schemeClr val="dk1"/>
              </a:solidFill>
              <a:effectLst/>
              <a:latin typeface="+mn-lt"/>
              <a:ea typeface="+mn-ea"/>
              <a:cs typeface="+mn-cs"/>
            </a:rPr>
            <a:t>以上、お手数ですが宜しくお願い致します。</a:t>
          </a:r>
        </a:p>
        <a:p>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02_&#35069;&#21697;&#35373;&#35336;&#12487;&#12540;&#12479;\25_&#12464;&#12522;&#12540;&#12473;&#12488;&#12521;&#12483;&#12503;\&#31639;&#23450;&#12477;&#12501;&#12488;&#12392;&#36039;&#26009;\&#12477;&#12501;&#12488;\santei_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
    </sheetNames>
    <sheetDataSet>
      <sheetData sheetId="0"/>
      <sheetData sheetId="1">
        <row r="2">
          <cell r="B2">
            <v>13</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W81"/>
  <sheetViews>
    <sheetView tabSelected="1" zoomScaleNormal="100" zoomScaleSheetLayoutView="70" workbookViewId="0">
      <selection activeCell="B7" sqref="B7:C7"/>
    </sheetView>
  </sheetViews>
  <sheetFormatPr defaultColWidth="10.625" defaultRowHeight="13.5"/>
  <cols>
    <col min="1" max="1" width="3.875" style="3" customWidth="1"/>
    <col min="2" max="6" width="3.5" style="3" customWidth="1"/>
    <col min="7" max="36" width="3.625" style="3" customWidth="1"/>
    <col min="37" max="37" width="2.625" style="3" customWidth="1"/>
    <col min="38" max="38" width="6.75" style="3" customWidth="1"/>
    <col min="39" max="39" width="3.875" style="3" customWidth="1"/>
    <col min="40" max="40" width="7.75" style="3" customWidth="1"/>
    <col min="41" max="41" width="8.375" style="3" hidden="1" customWidth="1"/>
    <col min="42" max="42" width="5.875" style="3" hidden="1" customWidth="1"/>
    <col min="43" max="43" width="5.125" style="3" hidden="1" customWidth="1"/>
    <col min="44" max="44" width="5.375" style="3" hidden="1" customWidth="1"/>
    <col min="45" max="45" width="6" style="3" hidden="1" customWidth="1"/>
    <col min="46" max="46" width="2.75" style="3" hidden="1" customWidth="1"/>
    <col min="47" max="47" width="4.375" style="3" hidden="1" customWidth="1"/>
    <col min="48" max="48" width="3.375" style="3" hidden="1" customWidth="1"/>
    <col min="49" max="49" width="3.25" style="3" hidden="1" customWidth="1"/>
    <col min="50" max="50" width="3.375" style="3" hidden="1" customWidth="1"/>
    <col min="51" max="51" width="3.5" style="3" hidden="1" customWidth="1"/>
    <col min="52" max="52" width="4" style="3" hidden="1" customWidth="1"/>
    <col min="53" max="53" width="4.375" style="3" hidden="1" customWidth="1"/>
    <col min="54" max="54" width="3.25" style="3" hidden="1" customWidth="1"/>
    <col min="55" max="55" width="2.75" style="3" hidden="1" customWidth="1"/>
    <col min="56" max="56" width="3.25" style="3" hidden="1" customWidth="1"/>
    <col min="57" max="57" width="2.625" style="3" hidden="1" customWidth="1"/>
    <col min="58" max="58" width="3.125" style="3" customWidth="1"/>
    <col min="59" max="59" width="2.875" style="3" customWidth="1"/>
    <col min="60" max="60" width="2.125" style="3" customWidth="1"/>
    <col min="61" max="61" width="3.375" style="3" customWidth="1"/>
    <col min="62" max="62" width="2.625" style="3" customWidth="1"/>
    <col min="63" max="63" width="3.625" style="3" customWidth="1"/>
    <col min="64" max="64" width="4" style="3" customWidth="1"/>
    <col min="65" max="16384" width="10.625" style="3"/>
  </cols>
  <sheetData>
    <row r="1" spans="1:257" ht="24.75" customHeight="1"/>
    <row r="3" spans="1:257" ht="19.5" customHeight="1"/>
    <row r="4" spans="1:257" s="227" customFormat="1" ht="15.75" customHeight="1">
      <c r="A4" s="1"/>
      <c r="B4" s="231" t="s">
        <v>225</v>
      </c>
      <c r="C4" s="1"/>
      <c r="D4" s="1"/>
      <c r="E4" s="4"/>
      <c r="F4" s="1"/>
      <c r="G4" s="226"/>
      <c r="H4" s="226"/>
      <c r="I4" s="226"/>
      <c r="J4" s="226"/>
      <c r="K4" s="226"/>
      <c r="L4" s="226"/>
      <c r="M4" s="226"/>
      <c r="N4" s="226"/>
      <c r="O4" s="226"/>
      <c r="P4" s="226"/>
      <c r="Q4" s="226"/>
      <c r="R4" s="226"/>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row>
    <row r="5" spans="1:257" ht="20.25" customHeight="1">
      <c r="A5" s="212" t="s">
        <v>139</v>
      </c>
      <c r="B5" s="1"/>
      <c r="C5" s="1"/>
      <c r="D5" s="1"/>
      <c r="E5" s="4"/>
      <c r="F5" s="1"/>
      <c r="G5" s="2"/>
      <c r="H5" s="2"/>
      <c r="I5" s="2"/>
      <c r="J5" s="2"/>
      <c r="K5" s="2"/>
      <c r="L5" s="2"/>
      <c r="M5" s="2"/>
      <c r="N5" s="2"/>
      <c r="O5" s="2"/>
      <c r="P5" s="2"/>
      <c r="Q5" s="2"/>
      <c r="R5" s="2"/>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row>
    <row r="6" spans="1:257" ht="18.75" customHeight="1">
      <c r="A6" s="1"/>
      <c r="B6" s="276" t="s">
        <v>38</v>
      </c>
      <c r="C6" s="277"/>
      <c r="D6" s="278"/>
      <c r="E6" s="276" t="s">
        <v>36</v>
      </c>
      <c r="F6" s="277"/>
      <c r="G6" s="278"/>
      <c r="K6" s="276" t="s">
        <v>50</v>
      </c>
      <c r="L6" s="277"/>
      <c r="M6" s="278"/>
      <c r="N6" s="276" t="s">
        <v>64</v>
      </c>
      <c r="O6" s="277"/>
      <c r="P6" s="277"/>
      <c r="Q6" s="278"/>
      <c r="U6" s="276" t="s">
        <v>49</v>
      </c>
      <c r="V6" s="277"/>
      <c r="W6" s="277"/>
      <c r="X6" s="278"/>
      <c r="AB6" s="276" t="s">
        <v>80</v>
      </c>
      <c r="AC6" s="277"/>
      <c r="AD6" s="277"/>
      <c r="AE6" s="278"/>
      <c r="AU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row>
    <row r="7" spans="1:257" ht="30" customHeight="1">
      <c r="A7" s="1"/>
      <c r="B7" s="271"/>
      <c r="C7" s="272"/>
      <c r="D7" s="88" t="s">
        <v>221</v>
      </c>
      <c r="E7" s="271"/>
      <c r="F7" s="272"/>
      <c r="G7" s="88" t="s">
        <v>37</v>
      </c>
      <c r="K7" s="271"/>
      <c r="L7" s="272"/>
      <c r="M7" s="88" t="s">
        <v>37</v>
      </c>
      <c r="N7" s="280"/>
      <c r="O7" s="281"/>
      <c r="P7" s="279" t="s">
        <v>227</v>
      </c>
      <c r="Q7" s="258"/>
      <c r="U7" s="271"/>
      <c r="V7" s="272"/>
      <c r="W7" s="279" t="s">
        <v>228</v>
      </c>
      <c r="X7" s="258"/>
      <c r="AB7" s="280"/>
      <c r="AC7" s="281"/>
      <c r="AD7" s="279" t="s">
        <v>153</v>
      </c>
      <c r="AE7" s="258"/>
      <c r="AU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row>
    <row r="8" spans="1:257" ht="14.25">
      <c r="A8" s="1"/>
      <c r="B8" s="139" t="s">
        <v>140</v>
      </c>
      <c r="C8" s="9"/>
      <c r="D8" s="1"/>
      <c r="E8" s="1"/>
      <c r="F8" s="1"/>
      <c r="G8" s="13"/>
      <c r="H8" s="137"/>
      <c r="I8" s="1"/>
      <c r="J8" s="1"/>
      <c r="K8" s="212" t="s">
        <v>156</v>
      </c>
      <c r="L8" s="1"/>
      <c r="M8" s="1"/>
      <c r="O8" s="1"/>
      <c r="R8" s="1"/>
      <c r="AB8" s="212" t="s">
        <v>113</v>
      </c>
      <c r="AD8" s="1"/>
      <c r="AE8" s="1"/>
      <c r="AF8" s="1"/>
      <c r="AT8" s="1"/>
      <c r="AU8" s="1"/>
      <c r="AV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row>
    <row r="9" spans="1:257" ht="14.25">
      <c r="A9" s="1"/>
      <c r="B9" s="8"/>
      <c r="C9" s="9"/>
      <c r="D9" s="1"/>
      <c r="E9" s="1"/>
      <c r="F9" s="1"/>
      <c r="G9" s="13"/>
      <c r="H9" s="137"/>
      <c r="I9" s="1"/>
      <c r="J9" s="1"/>
      <c r="K9" s="212" t="s">
        <v>157</v>
      </c>
      <c r="L9" s="1"/>
      <c r="M9" s="1"/>
      <c r="O9" s="1"/>
      <c r="R9" s="1"/>
      <c r="AB9" s="212" t="s">
        <v>178</v>
      </c>
      <c r="AD9" s="1"/>
      <c r="AE9" s="1"/>
      <c r="AF9" s="1"/>
      <c r="AT9" s="1"/>
      <c r="AU9" s="1"/>
      <c r="AV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row>
    <row r="10" spans="1:257" ht="14.25">
      <c r="A10" s="212" t="s">
        <v>138</v>
      </c>
      <c r="B10" s="8"/>
      <c r="C10" s="9"/>
      <c r="D10" s="1"/>
      <c r="E10" s="1"/>
      <c r="F10" s="1"/>
      <c r="G10" s="13"/>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row>
    <row r="11" spans="1:257" ht="18.75" customHeight="1">
      <c r="A11" s="1"/>
      <c r="B11" s="276" t="s">
        <v>118</v>
      </c>
      <c r="C11" s="277"/>
      <c r="D11" s="277"/>
      <c r="E11" s="278"/>
      <c r="F11" s="302" t="s">
        <v>120</v>
      </c>
      <c r="G11" s="302"/>
      <c r="H11" s="302"/>
      <c r="I11" s="302"/>
      <c r="J11" s="302"/>
      <c r="K11" s="302"/>
      <c r="L11" s="302"/>
      <c r="M11" s="139" t="s">
        <v>123</v>
      </c>
      <c r="AI11" s="1"/>
      <c r="AT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row>
    <row r="12" spans="1:257" ht="30" customHeight="1">
      <c r="A12" s="1"/>
      <c r="B12" s="280"/>
      <c r="C12" s="281"/>
      <c r="D12" s="279" t="s">
        <v>119</v>
      </c>
      <c r="E12" s="279"/>
      <c r="F12" s="300"/>
      <c r="G12" s="301"/>
      <c r="H12" s="301"/>
      <c r="I12" s="301"/>
      <c r="J12" s="301"/>
      <c r="K12" s="258" t="s">
        <v>121</v>
      </c>
      <c r="L12" s="259"/>
      <c r="M12" s="140" t="s">
        <v>122</v>
      </c>
      <c r="AI12" s="1"/>
      <c r="AT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row>
    <row r="13" spans="1:257" ht="14.25">
      <c r="A13" s="1"/>
      <c r="B13" s="139" t="s">
        <v>154</v>
      </c>
      <c r="C13" s="9"/>
      <c r="D13" s="1"/>
      <c r="E13" s="1"/>
      <c r="F13" s="1"/>
      <c r="G13" s="13"/>
      <c r="H13" s="1"/>
      <c r="I13" s="1"/>
      <c r="J13" s="1"/>
      <c r="K13" s="1"/>
      <c r="L13" s="1"/>
      <c r="M13" s="1"/>
      <c r="N13" s="1"/>
      <c r="O13" s="139"/>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row>
    <row r="14" spans="1:257" ht="14.25">
      <c r="A14" s="1"/>
      <c r="B14" s="139" t="s">
        <v>155</v>
      </c>
      <c r="C14" s="9"/>
      <c r="D14" s="1"/>
      <c r="E14" s="1"/>
      <c r="F14" s="1"/>
      <c r="G14" s="13"/>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row>
    <row r="15" spans="1:257" ht="14.25">
      <c r="A15" s="1"/>
      <c r="B15" s="8"/>
      <c r="C15" s="9"/>
      <c r="D15" s="1"/>
      <c r="E15" s="1"/>
      <c r="F15" s="1"/>
      <c r="G15" s="13"/>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row>
    <row r="16" spans="1:257" ht="19.5" customHeight="1">
      <c r="A16" s="1"/>
      <c r="B16" s="257" t="s">
        <v>31</v>
      </c>
      <c r="C16" s="257"/>
      <c r="D16" s="257"/>
      <c r="E16" s="257"/>
      <c r="F16" s="257"/>
      <c r="G16" s="257"/>
      <c r="H16" s="257"/>
      <c r="I16" s="257"/>
      <c r="J16" s="257"/>
      <c r="K16" s="257"/>
      <c r="N16" s="293" t="s">
        <v>17</v>
      </c>
      <c r="O16" s="293"/>
      <c r="P16" s="293"/>
      <c r="Q16" s="293"/>
      <c r="R16" s="257" t="s">
        <v>224</v>
      </c>
      <c r="S16" s="257"/>
      <c r="T16" s="257"/>
      <c r="U16" s="257"/>
      <c r="V16" s="257"/>
      <c r="W16" s="257"/>
      <c r="X16" s="257"/>
      <c r="Y16" s="257"/>
      <c r="Z16" s="293" t="s">
        <v>7</v>
      </c>
      <c r="AA16" s="293"/>
      <c r="AB16" s="293"/>
      <c r="AC16" s="293"/>
      <c r="AD16" s="293"/>
      <c r="AR16" s="1"/>
      <c r="AS16" s="1"/>
      <c r="AT16" s="1"/>
      <c r="AU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row>
    <row r="17" spans="1:257" ht="33.75" customHeight="1">
      <c r="A17" s="1"/>
      <c r="B17" s="256"/>
      <c r="C17" s="256"/>
      <c r="D17" s="256"/>
      <c r="E17" s="256"/>
      <c r="F17" s="256"/>
      <c r="G17" s="256"/>
      <c r="H17" s="256"/>
      <c r="I17" s="256"/>
      <c r="J17" s="256"/>
      <c r="K17" s="256"/>
      <c r="N17" s="275"/>
      <c r="O17" s="275"/>
      <c r="P17" s="275"/>
      <c r="Q17" s="275"/>
      <c r="R17" s="271"/>
      <c r="S17" s="272"/>
      <c r="T17" s="272"/>
      <c r="U17" s="272"/>
      <c r="V17" s="272"/>
      <c r="W17" s="272"/>
      <c r="X17" s="272"/>
      <c r="Y17" s="273"/>
      <c r="Z17" s="274"/>
      <c r="AA17" s="274"/>
      <c r="AB17" s="274"/>
      <c r="AC17" s="274"/>
      <c r="AD17" s="274"/>
      <c r="AR17" s="1"/>
      <c r="AS17" s="1"/>
      <c r="AT17" s="1"/>
      <c r="AU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row>
    <row r="18" spans="1:257" ht="14.25">
      <c r="A18" s="1"/>
      <c r="B18" s="213" t="s">
        <v>141</v>
      </c>
      <c r="C18" s="18"/>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row>
    <row r="19" spans="1:257" ht="14.25">
      <c r="A19" s="1"/>
      <c r="B19" s="184"/>
      <c r="C19" s="18"/>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row>
    <row r="20" spans="1:257" ht="30" customHeight="1" thickBot="1">
      <c r="A20" s="14"/>
      <c r="B20" s="58"/>
      <c r="C20" s="14"/>
      <c r="D20" s="14"/>
      <c r="E20" s="14"/>
      <c r="F20" s="14"/>
      <c r="G20" s="14"/>
      <c r="H20" s="14"/>
      <c r="I20" s="14"/>
      <c r="J20" s="87"/>
      <c r="K20" s="269" t="str">
        <f>CONCATENATE(B17)&amp;"に設置するオイルトラップの機種選定"</f>
        <v>に設置するオイルトラップの機種選定</v>
      </c>
      <c r="L20" s="269"/>
      <c r="M20" s="269"/>
      <c r="N20" s="269"/>
      <c r="O20" s="269"/>
      <c r="P20" s="269"/>
      <c r="Q20" s="269"/>
      <c r="R20" s="269"/>
      <c r="S20" s="269"/>
      <c r="T20" s="269"/>
      <c r="U20" s="269"/>
      <c r="V20" s="269"/>
      <c r="W20" s="269"/>
      <c r="X20" s="269"/>
      <c r="Y20" s="269"/>
      <c r="Z20" s="269"/>
      <c r="AA20" s="269"/>
      <c r="AB20" s="269"/>
      <c r="AC20" s="269"/>
      <c r="AD20" s="269"/>
      <c r="AE20" s="16"/>
      <c r="AF20" s="16"/>
      <c r="AG20" s="14"/>
      <c r="AH20" s="15" t="s">
        <v>10</v>
      </c>
      <c r="AI20" s="282">
        <f ca="1">NOW()</f>
        <v>45673.560587499996</v>
      </c>
      <c r="AJ20" s="282"/>
      <c r="AK20" s="282"/>
      <c r="AL20" s="282"/>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row>
    <row r="21" spans="1:257" ht="25.5" customHeight="1">
      <c r="A21" s="14"/>
      <c r="B21" s="270" t="s">
        <v>11</v>
      </c>
      <c r="C21" s="267"/>
      <c r="D21" s="267"/>
      <c r="E21" s="267"/>
      <c r="F21" s="268"/>
      <c r="G21" s="266" t="s">
        <v>2</v>
      </c>
      <c r="H21" s="267"/>
      <c r="I21" s="267"/>
      <c r="J21" s="267"/>
      <c r="K21" s="267"/>
      <c r="L21" s="267"/>
      <c r="M21" s="267"/>
      <c r="N21" s="267"/>
      <c r="O21" s="267"/>
      <c r="P21" s="267"/>
      <c r="Q21" s="267"/>
      <c r="R21" s="267"/>
      <c r="S21" s="267"/>
      <c r="T21" s="267"/>
      <c r="U21" s="267"/>
      <c r="V21" s="268"/>
      <c r="W21" s="266" t="s">
        <v>0</v>
      </c>
      <c r="X21" s="267"/>
      <c r="Y21" s="267"/>
      <c r="Z21" s="267"/>
      <c r="AA21" s="267"/>
      <c r="AB21" s="267"/>
      <c r="AC21" s="267"/>
      <c r="AD21" s="267"/>
      <c r="AE21" s="267"/>
      <c r="AF21" s="267"/>
      <c r="AG21" s="267"/>
      <c r="AH21" s="268"/>
      <c r="AI21" s="291" t="s">
        <v>12</v>
      </c>
      <c r="AJ21" s="291"/>
      <c r="AK21" s="291"/>
      <c r="AL21" s="292"/>
      <c r="AP21" s="89"/>
      <c r="AQ21" s="89"/>
      <c r="AR21" s="1"/>
      <c r="AS21" s="108"/>
      <c r="AT21" s="108"/>
      <c r="AU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row>
    <row r="22" spans="1:257" ht="15.95" customHeight="1">
      <c r="A22" s="14"/>
      <c r="B22" s="41" t="s">
        <v>171</v>
      </c>
      <c r="C22" s="20"/>
      <c r="D22" s="20"/>
      <c r="E22" s="20"/>
      <c r="F22" s="75"/>
      <c r="G22" s="146" t="s">
        <v>184</v>
      </c>
      <c r="H22" s="141"/>
      <c r="I22" s="141"/>
      <c r="J22" s="141"/>
      <c r="K22" s="141"/>
      <c r="L22" s="142"/>
      <c r="M22" s="142"/>
      <c r="N22" s="142"/>
      <c r="O22" s="142"/>
      <c r="P22" s="142"/>
      <c r="Q22" s="142"/>
      <c r="R22" s="142"/>
      <c r="S22" s="141"/>
      <c r="T22" s="142"/>
      <c r="U22" s="143" t="s">
        <v>3</v>
      </c>
      <c r="V22" s="144"/>
      <c r="W22" s="178" t="s">
        <v>180</v>
      </c>
      <c r="X22" s="145"/>
      <c r="Y22" s="142"/>
      <c r="Z22" s="142"/>
      <c r="AA22" s="145"/>
      <c r="AB22" s="141"/>
      <c r="AC22" s="141"/>
      <c r="AD22" s="141"/>
      <c r="AE22" s="141"/>
      <c r="AF22" s="141"/>
      <c r="AG22" s="141"/>
      <c r="AH22" s="144"/>
      <c r="AI22" s="23"/>
      <c r="AJ22" s="23"/>
      <c r="AK22" s="23"/>
      <c r="AL22" s="24"/>
      <c r="AN22" s="110"/>
      <c r="AO22" s="110" t="s">
        <v>65</v>
      </c>
      <c r="AP22" s="111" t="str">
        <f>FIXED(AK23,0,TRUE)&amp;"×"&amp;FIXED(AK24,0,TRUE)</f>
        <v>0×0</v>
      </c>
      <c r="AQ22" s="111" t="str">
        <f>IFERROR(AP22,0&amp;"＋")</f>
        <v>0×0</v>
      </c>
      <c r="AR22" s="112" t="str">
        <f>IF(AQ22=0,0,AQ22)</f>
        <v>0×0</v>
      </c>
      <c r="AS22" s="113" t="e">
        <f>A*Wm*n</f>
        <v>#REF!</v>
      </c>
      <c r="AT22" s="111">
        <f>IFERROR(AS22,0)</f>
        <v>0</v>
      </c>
      <c r="AU22" s="113">
        <f>(AT22+AT24)*AT27</f>
        <v>0</v>
      </c>
      <c r="AY22" s="325" t="str">
        <f>M44</f>
        <v>0  [Ｌ/min]</v>
      </c>
      <c r="AZ22" s="325"/>
      <c r="BA22" s="325"/>
      <c r="BB22" s="325"/>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7" ht="15.95" customHeight="1">
      <c r="A23" s="14"/>
      <c r="B23" s="19"/>
      <c r="C23" s="20"/>
      <c r="D23" s="20"/>
      <c r="E23" s="20"/>
      <c r="F23" s="75"/>
      <c r="G23" s="149" t="s">
        <v>142</v>
      </c>
      <c r="H23" s="163"/>
      <c r="I23" s="143" t="s">
        <v>124</v>
      </c>
      <c r="J23" s="149" t="s">
        <v>159</v>
      </c>
      <c r="K23" s="149"/>
      <c r="L23" s="163"/>
      <c r="M23" s="163"/>
      <c r="N23" s="163"/>
      <c r="O23" s="163"/>
      <c r="P23" s="163"/>
      <c r="Q23" s="163"/>
      <c r="R23" s="149"/>
      <c r="S23" s="149"/>
      <c r="T23" s="163"/>
      <c r="U23" s="143" t="s">
        <v>149</v>
      </c>
      <c r="V23" s="144"/>
      <c r="W23" s="148"/>
      <c r="X23" s="214" t="str">
        <f>" Ｑ＝（"&amp;FIXED(AK23,0,TRUE)&amp;"×"&amp;FIXED(AK24,1,TRUE)&amp;"＋"&amp;FIXED(AK25,U18,TRUE)&amp;"×"&amp;FIXED(AK26,0,TRUE)&amp;")×"&amp;FIXED(AK27,1,TRUE)</f>
        <v xml:space="preserve"> Ｑ＝（0×0.0＋0×0)×10.0</v>
      </c>
      <c r="Y23" s="149"/>
      <c r="Z23" s="150"/>
      <c r="AA23" s="150"/>
      <c r="AB23" s="149"/>
      <c r="AC23" s="141"/>
      <c r="AD23" s="141"/>
      <c r="AE23" s="141"/>
      <c r="AF23" s="141"/>
      <c r="AG23" s="141"/>
      <c r="AH23" s="144"/>
      <c r="AI23" s="107"/>
      <c r="AJ23" s="28" t="s">
        <v>61</v>
      </c>
      <c r="AK23" s="287">
        <f>IF(B7="",0,HLOOKUP(B7,データ!B2:D3,2,FALSE))</f>
        <v>0</v>
      </c>
      <c r="AL23" s="288"/>
      <c r="AN23" s="110"/>
      <c r="AO23" s="110"/>
      <c r="AP23" s="112"/>
      <c r="AQ23" s="112"/>
      <c r="AR23" s="112"/>
      <c r="AS23" s="113"/>
      <c r="AT23" s="113"/>
      <c r="AU23" s="110"/>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7" ht="15.95" customHeight="1">
      <c r="A24" s="14"/>
      <c r="B24" s="19"/>
      <c r="C24" s="20"/>
      <c r="D24" s="20"/>
      <c r="E24" s="20"/>
      <c r="F24" s="75"/>
      <c r="G24" s="149"/>
      <c r="H24" s="163"/>
      <c r="I24" s="143" t="s">
        <v>125</v>
      </c>
      <c r="J24" s="149" t="s">
        <v>158</v>
      </c>
      <c r="K24" s="149"/>
      <c r="L24" s="163"/>
      <c r="M24" s="163"/>
      <c r="N24" s="163"/>
      <c r="O24" s="163"/>
      <c r="P24" s="163"/>
      <c r="Q24" s="163"/>
      <c r="R24" s="149"/>
      <c r="S24" s="149"/>
      <c r="T24" s="163"/>
      <c r="U24" s="143" t="s">
        <v>150</v>
      </c>
      <c r="V24" s="144"/>
      <c r="W24" s="148"/>
      <c r="X24" s="151" t="s">
        <v>163</v>
      </c>
      <c r="Y24" s="299">
        <f>ROUNDUP((AK23*AK24+AK25*AK26)*AK27,1)</f>
        <v>0</v>
      </c>
      <c r="Z24" s="299"/>
      <c r="AA24" s="209"/>
      <c r="AB24" s="149" t="s">
        <v>15</v>
      </c>
      <c r="AC24" s="141"/>
      <c r="AD24" s="141"/>
      <c r="AE24" s="141"/>
      <c r="AF24" s="141"/>
      <c r="AG24" s="141"/>
      <c r="AH24" s="144"/>
      <c r="AI24" s="107"/>
      <c r="AJ24" s="28" t="s">
        <v>229</v>
      </c>
      <c r="AK24" s="287">
        <f>IF(E7=0,0,HLOOKUP(E7,データ!B6:Q7,2,FALSE))</f>
        <v>0</v>
      </c>
      <c r="AL24" s="288"/>
      <c r="AN24" s="110"/>
      <c r="AO24" s="110" t="s">
        <v>66</v>
      </c>
      <c r="AP24" s="111" t="str">
        <f>FIXED(AK25,0,TRUE)&amp;"×"&amp;FIXED(AK26,0,TRUE)</f>
        <v>0×0</v>
      </c>
      <c r="AQ24" s="111" t="str">
        <f>IFERROR(AP24,0)</f>
        <v>0×0</v>
      </c>
      <c r="AR24" s="112" t="str">
        <f>IF(AQ24=0,0,AQ24)</f>
        <v>0×0</v>
      </c>
      <c r="AS24" s="113">
        <f>n0*t</f>
        <v>0</v>
      </c>
      <c r="AT24" s="111">
        <f>IFERROR(AS24,0)</f>
        <v>0</v>
      </c>
      <c r="AU24" s="113">
        <f>(AT24+AT26)*AT29</f>
        <v>0</v>
      </c>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7" ht="15.95" customHeight="1">
      <c r="A25" s="14"/>
      <c r="B25" s="19"/>
      <c r="C25" s="20"/>
      <c r="D25" s="20"/>
      <c r="E25" s="20"/>
      <c r="F25" s="75"/>
      <c r="G25" s="149"/>
      <c r="H25" s="163"/>
      <c r="I25" s="143" t="s">
        <v>126</v>
      </c>
      <c r="J25" s="149" t="s">
        <v>48</v>
      </c>
      <c r="K25" s="149"/>
      <c r="L25" s="163"/>
      <c r="M25" s="163"/>
      <c r="N25" s="163"/>
      <c r="O25" s="163"/>
      <c r="P25" s="163"/>
      <c r="Q25" s="163"/>
      <c r="R25" s="163"/>
      <c r="S25" s="149"/>
      <c r="T25" s="163"/>
      <c r="U25" s="143" t="s">
        <v>149</v>
      </c>
      <c r="V25" s="144"/>
      <c r="W25" s="148"/>
      <c r="X25" s="152"/>
      <c r="Y25" s="142"/>
      <c r="Z25" s="142"/>
      <c r="AA25" s="141"/>
      <c r="AB25" s="141"/>
      <c r="AC25" s="141"/>
      <c r="AD25" s="141"/>
      <c r="AE25" s="141"/>
      <c r="AF25" s="141"/>
      <c r="AG25" s="141"/>
      <c r="AH25" s="144"/>
      <c r="AI25" s="107"/>
      <c r="AJ25" s="28" t="s">
        <v>62</v>
      </c>
      <c r="AK25" s="287">
        <f>N7</f>
        <v>0</v>
      </c>
      <c r="AL25" s="288"/>
      <c r="AN25" s="110"/>
      <c r="AO25" s="110"/>
      <c r="AP25" s="112"/>
      <c r="AQ25" s="112"/>
      <c r="AR25" s="112"/>
      <c r="AS25" s="113"/>
      <c r="AT25" s="113"/>
      <c r="AU25" s="110"/>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7" ht="15.95" customHeight="1">
      <c r="A26" s="14"/>
      <c r="B26" s="19"/>
      <c r="C26" s="20"/>
      <c r="D26" s="20"/>
      <c r="E26" s="20"/>
      <c r="F26" s="75"/>
      <c r="G26" s="149"/>
      <c r="H26" s="163"/>
      <c r="I26" s="143" t="s">
        <v>127</v>
      </c>
      <c r="J26" s="149" t="s">
        <v>160</v>
      </c>
      <c r="K26" s="149"/>
      <c r="L26" s="163"/>
      <c r="M26" s="163"/>
      <c r="N26" s="163"/>
      <c r="O26" s="163"/>
      <c r="P26" s="163"/>
      <c r="Q26" s="163"/>
      <c r="R26" s="149"/>
      <c r="S26" s="149"/>
      <c r="T26" s="163"/>
      <c r="U26" s="143" t="s">
        <v>1</v>
      </c>
      <c r="V26" s="144"/>
      <c r="W26" s="148"/>
      <c r="X26" s="152"/>
      <c r="Y26" s="142"/>
      <c r="Z26" s="142"/>
      <c r="AA26" s="141"/>
      <c r="AB26" s="141"/>
      <c r="AC26" s="141"/>
      <c r="AD26" s="141"/>
      <c r="AE26" s="141"/>
      <c r="AF26" s="141"/>
      <c r="AG26" s="141"/>
      <c r="AH26" s="144"/>
      <c r="AI26" s="107"/>
      <c r="AJ26" s="28" t="s">
        <v>230</v>
      </c>
      <c r="AK26" s="287">
        <f>K7</f>
        <v>0</v>
      </c>
      <c r="AL26" s="288"/>
      <c r="AN26" s="114"/>
      <c r="AO26" s="114"/>
      <c r="AP26" s="112"/>
      <c r="AQ26" s="112"/>
      <c r="AR26" s="112"/>
      <c r="AS26" s="113"/>
      <c r="AT26" s="113"/>
      <c r="AU26" s="110"/>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7" ht="15.95" customHeight="1">
      <c r="A27" s="14"/>
      <c r="B27" s="19"/>
      <c r="C27" s="20"/>
      <c r="D27" s="20"/>
      <c r="E27" s="20"/>
      <c r="F27" s="75"/>
      <c r="G27" s="149"/>
      <c r="H27" s="163"/>
      <c r="I27" s="143" t="s">
        <v>185</v>
      </c>
      <c r="J27" s="152" t="s">
        <v>161</v>
      </c>
      <c r="K27" s="175"/>
      <c r="L27" s="163"/>
      <c r="M27" s="163"/>
      <c r="N27" s="163"/>
      <c r="O27" s="163"/>
      <c r="P27" s="163"/>
      <c r="Q27" s="163"/>
      <c r="R27" s="149"/>
      <c r="S27" s="149"/>
      <c r="T27" s="163"/>
      <c r="U27" s="143" t="s">
        <v>1</v>
      </c>
      <c r="V27" s="144"/>
      <c r="W27" s="152" t="s">
        <v>134</v>
      </c>
      <c r="X27" s="16"/>
      <c r="Y27" s="16"/>
      <c r="Z27" s="150"/>
      <c r="AA27" s="141"/>
      <c r="AB27" s="141"/>
      <c r="AC27" s="141"/>
      <c r="AD27" s="141"/>
      <c r="AE27" s="141"/>
      <c r="AF27" s="141"/>
      <c r="AG27" s="141"/>
      <c r="AH27" s="153"/>
      <c r="AI27" s="107"/>
      <c r="AJ27" s="28" t="s">
        <v>182</v>
      </c>
      <c r="AK27" s="289">
        <v>10</v>
      </c>
      <c r="AL27" s="290"/>
      <c r="AN27" s="110"/>
      <c r="AO27" s="110" t="s">
        <v>67</v>
      </c>
      <c r="AP27" s="111"/>
      <c r="AQ27" s="111"/>
      <c r="AR27" s="112">
        <f>k</f>
        <v>10</v>
      </c>
      <c r="AS27" s="113">
        <f>AR27</f>
        <v>10</v>
      </c>
      <c r="AT27" s="111">
        <f>k</f>
        <v>10</v>
      </c>
      <c r="AU27" s="110"/>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7" ht="15.95" customHeight="1">
      <c r="A28" s="14"/>
      <c r="B28" s="19"/>
      <c r="C28" s="20"/>
      <c r="D28" s="20"/>
      <c r="E28" s="20"/>
      <c r="F28" s="75"/>
      <c r="G28" s="149"/>
      <c r="H28" s="163"/>
      <c r="I28" s="143"/>
      <c r="J28" s="152" t="s">
        <v>181</v>
      </c>
      <c r="K28" s="175"/>
      <c r="L28" s="163"/>
      <c r="M28" s="163"/>
      <c r="N28" s="163"/>
      <c r="O28" s="163"/>
      <c r="P28" s="163"/>
      <c r="Q28" s="163"/>
      <c r="R28" s="149"/>
      <c r="S28" s="149"/>
      <c r="T28" s="163"/>
      <c r="U28" s="143"/>
      <c r="V28" s="144"/>
      <c r="W28" s="148"/>
      <c r="X28" s="143" t="s">
        <v>167</v>
      </c>
      <c r="Y28" s="149" t="str">
        <f>FIXED(AP30,0,TRUE)&amp;"×"&amp;FIXED(AP31,0,TRUE)&amp;"÷60"</f>
        <v>0×0÷60</v>
      </c>
      <c r="Z28" s="16"/>
      <c r="AA28" s="141"/>
      <c r="AB28" s="141"/>
      <c r="AC28" s="141"/>
      <c r="AD28" s="141"/>
      <c r="AE28" s="141"/>
      <c r="AF28" s="141"/>
      <c r="AG28" s="141"/>
      <c r="AH28" s="153"/>
      <c r="AI28" s="107"/>
      <c r="AJ28" s="28"/>
      <c r="AK28" s="182"/>
      <c r="AL28" s="185"/>
      <c r="AN28" s="110"/>
      <c r="AO28" s="110"/>
      <c r="AP28" s="112"/>
      <c r="AQ28" s="112"/>
      <c r="AR28" s="112"/>
      <c r="AS28" s="113"/>
      <c r="AT28" s="113"/>
      <c r="AU28" s="110"/>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7" ht="15.95" customHeight="1">
      <c r="A29" s="14"/>
      <c r="B29" s="19"/>
      <c r="C29" s="20"/>
      <c r="D29" s="20"/>
      <c r="E29" s="20"/>
      <c r="F29" s="75"/>
      <c r="G29" s="146" t="s">
        <v>164</v>
      </c>
      <c r="H29" s="163"/>
      <c r="I29" s="143"/>
      <c r="J29" s="152"/>
      <c r="K29" s="175"/>
      <c r="L29" s="163"/>
      <c r="M29" s="163"/>
      <c r="N29" s="163"/>
      <c r="O29" s="163"/>
      <c r="P29" s="163"/>
      <c r="Q29" s="163"/>
      <c r="R29" s="149"/>
      <c r="S29" s="149"/>
      <c r="T29" s="163"/>
      <c r="U29" s="143" t="s">
        <v>131</v>
      </c>
      <c r="V29" s="144"/>
      <c r="W29" s="148"/>
      <c r="X29" s="151" t="s">
        <v>14</v>
      </c>
      <c r="Y29" s="299">
        <f>ROUND(AU32,1)</f>
        <v>0</v>
      </c>
      <c r="Z29" s="299"/>
      <c r="AA29" s="209"/>
      <c r="AB29" s="210" t="s">
        <v>137</v>
      </c>
      <c r="AC29" s="209"/>
      <c r="AD29" s="141"/>
      <c r="AE29" s="141"/>
      <c r="AF29" s="141"/>
      <c r="AG29" s="141"/>
      <c r="AH29" s="153"/>
      <c r="AI29" s="107"/>
      <c r="AJ29" s="28" t="s">
        <v>168</v>
      </c>
      <c r="AK29" s="287">
        <f>B12</f>
        <v>0</v>
      </c>
      <c r="AL29" s="288"/>
      <c r="AN29" s="110"/>
      <c r="AO29" s="110"/>
      <c r="AP29" s="112"/>
      <c r="AQ29" s="112"/>
      <c r="AR29" s="112"/>
      <c r="AS29" s="113"/>
      <c r="AT29" s="113"/>
      <c r="AU29" s="110"/>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7" ht="15.95" customHeight="1">
      <c r="A30" s="14"/>
      <c r="B30" s="19"/>
      <c r="C30" s="20"/>
      <c r="D30" s="20"/>
      <c r="E30" s="20"/>
      <c r="F30" s="75"/>
      <c r="G30" s="149" t="s">
        <v>142</v>
      </c>
      <c r="H30" s="163"/>
      <c r="I30" s="143" t="s">
        <v>165</v>
      </c>
      <c r="J30" s="149" t="s">
        <v>162</v>
      </c>
      <c r="K30" s="175"/>
      <c r="L30" s="163"/>
      <c r="M30" s="163"/>
      <c r="N30" s="163"/>
      <c r="O30" s="163"/>
      <c r="P30" s="163"/>
      <c r="Q30" s="163"/>
      <c r="R30" s="149"/>
      <c r="S30" s="149"/>
      <c r="T30" s="163"/>
      <c r="U30" s="143" t="s">
        <v>132</v>
      </c>
      <c r="V30" s="144"/>
      <c r="W30" s="148"/>
      <c r="X30" s="151"/>
      <c r="Y30" s="201"/>
      <c r="Z30" s="201"/>
      <c r="AA30" s="201"/>
      <c r="AB30" s="201"/>
      <c r="AC30" s="149"/>
      <c r="AD30" s="141"/>
      <c r="AE30" s="141"/>
      <c r="AF30" s="141"/>
      <c r="AG30" s="141"/>
      <c r="AH30" s="153"/>
      <c r="AI30" s="107"/>
      <c r="AJ30" s="28" t="s">
        <v>135</v>
      </c>
      <c r="AK30" s="287">
        <f>F12</f>
        <v>0</v>
      </c>
      <c r="AL30" s="288"/>
      <c r="AN30" s="110"/>
      <c r="AO30" s="110"/>
      <c r="AP30" s="112">
        <f>AK29</f>
        <v>0</v>
      </c>
      <c r="AQ30" s="112"/>
      <c r="AR30" s="112"/>
      <c r="AS30" s="113"/>
      <c r="AT30" s="113"/>
      <c r="AU30" s="110"/>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7" ht="15.95" customHeight="1">
      <c r="A31" s="14"/>
      <c r="B31" s="19"/>
      <c r="C31" s="20"/>
      <c r="D31" s="20"/>
      <c r="E31" s="20"/>
      <c r="F31" s="75"/>
      <c r="G31" s="149"/>
      <c r="H31" s="163"/>
      <c r="I31" s="143" t="s">
        <v>130</v>
      </c>
      <c r="J31" s="149" t="s">
        <v>120</v>
      </c>
      <c r="K31" s="175"/>
      <c r="L31" s="163"/>
      <c r="M31" s="163"/>
      <c r="N31" s="163"/>
      <c r="O31" s="163"/>
      <c r="P31" s="163"/>
      <c r="Q31" s="163"/>
      <c r="R31" s="149"/>
      <c r="S31" s="149"/>
      <c r="T31" s="163"/>
      <c r="U31" s="143" t="s">
        <v>133</v>
      </c>
      <c r="V31" s="144"/>
      <c r="W31" s="148" t="s">
        <v>166</v>
      </c>
      <c r="X31" s="152"/>
      <c r="Y31" s="142"/>
      <c r="Z31" s="142"/>
      <c r="AA31" s="141"/>
      <c r="AB31" s="141"/>
      <c r="AC31" s="141"/>
      <c r="AD31" s="141"/>
      <c r="AE31" s="141"/>
      <c r="AF31" s="141"/>
      <c r="AG31" s="141"/>
      <c r="AH31" s="144"/>
      <c r="AI31" s="107"/>
      <c r="AJ31" s="28"/>
      <c r="AK31" s="195"/>
      <c r="AL31" s="196"/>
      <c r="AN31" s="110"/>
      <c r="AO31" s="110"/>
      <c r="AP31" s="112">
        <f>AK30</f>
        <v>0</v>
      </c>
      <c r="AQ31" s="112"/>
      <c r="AR31" s="112"/>
      <c r="AS31" s="113"/>
      <c r="AT31" s="113"/>
      <c r="AU31" s="110" t="s">
        <v>136</v>
      </c>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7" ht="15.95" customHeight="1">
      <c r="A32" s="14"/>
      <c r="B32" s="69"/>
      <c r="C32" s="70"/>
      <c r="D32" s="70"/>
      <c r="E32" s="70"/>
      <c r="F32" s="76"/>
      <c r="G32" s="141"/>
      <c r="H32" s="154"/>
      <c r="I32" s="155"/>
      <c r="J32" s="156"/>
      <c r="K32" s="157"/>
      <c r="L32" s="158"/>
      <c r="M32" s="158"/>
      <c r="N32" s="158"/>
      <c r="O32" s="158"/>
      <c r="P32" s="158"/>
      <c r="Q32" s="158"/>
      <c r="R32" s="159"/>
      <c r="S32" s="159"/>
      <c r="T32" s="158"/>
      <c r="U32" s="155"/>
      <c r="V32" s="160"/>
      <c r="W32" s="207" t="s">
        <v>148</v>
      </c>
      <c r="X32" s="208"/>
      <c r="Y32" s="154"/>
      <c r="Z32" s="154"/>
      <c r="AA32" s="161"/>
      <c r="AB32" s="161"/>
      <c r="AC32" s="161"/>
      <c r="AD32" s="161"/>
      <c r="AE32" s="161"/>
      <c r="AF32" s="161"/>
      <c r="AG32" s="161"/>
      <c r="AH32" s="160"/>
      <c r="AI32" s="80"/>
      <c r="AJ32" s="73"/>
      <c r="AK32" s="73"/>
      <c r="AL32" s="179"/>
      <c r="AN32" s="110"/>
      <c r="AO32" s="110"/>
      <c r="AP32" s="112">
        <v>60</v>
      </c>
      <c r="AR32" s="112"/>
      <c r="AS32" s="113"/>
      <c r="AT32" s="113"/>
      <c r="AU32" s="112">
        <f>AP30*AP31/AP32</f>
        <v>0</v>
      </c>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row>
    <row r="33" spans="1:257" ht="18.75" customHeight="1">
      <c r="A33" s="14"/>
      <c r="B33" s="34" t="s">
        <v>68</v>
      </c>
      <c r="C33" s="23"/>
      <c r="D33" s="23"/>
      <c r="E33" s="23"/>
      <c r="F33" s="23"/>
      <c r="G33" s="162" t="s">
        <v>174</v>
      </c>
      <c r="H33" s="141"/>
      <c r="I33" s="141"/>
      <c r="J33" s="141"/>
      <c r="K33" s="141"/>
      <c r="L33" s="142"/>
      <c r="M33" s="142"/>
      <c r="N33" s="142"/>
      <c r="O33" s="142"/>
      <c r="P33" s="142"/>
      <c r="Q33" s="142"/>
      <c r="R33" s="142"/>
      <c r="S33" s="141"/>
      <c r="T33" s="142"/>
      <c r="U33" s="143" t="s">
        <v>69</v>
      </c>
      <c r="V33" s="144"/>
      <c r="W33" s="142" t="s">
        <v>175</v>
      </c>
      <c r="X33" s="142"/>
      <c r="Y33" s="142"/>
      <c r="Z33" s="142"/>
      <c r="AA33" s="141"/>
      <c r="AB33" s="141"/>
      <c r="AC33" s="141"/>
      <c r="AD33" s="141"/>
      <c r="AE33" s="141"/>
      <c r="AF33" s="141"/>
      <c r="AG33" s="141"/>
      <c r="AH33" s="144"/>
      <c r="AI33" s="23"/>
      <c r="AJ33" s="40"/>
      <c r="AK33" s="40"/>
      <c r="AL33" s="180"/>
      <c r="AN33" s="110"/>
      <c r="AO33" s="110"/>
      <c r="AP33" s="112"/>
      <c r="AQ33" s="112"/>
      <c r="AR33" s="112"/>
      <c r="AS33" s="113"/>
      <c r="AT33" s="113"/>
      <c r="AU33" s="110"/>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7" ht="15.95" customHeight="1">
      <c r="A34" s="14"/>
      <c r="B34" s="32"/>
      <c r="C34" s="23"/>
      <c r="D34" s="23"/>
      <c r="E34" s="23"/>
      <c r="F34" s="77"/>
      <c r="G34" s="149" t="s">
        <v>143</v>
      </c>
      <c r="H34" s="163"/>
      <c r="I34" s="143" t="s">
        <v>128</v>
      </c>
      <c r="J34" s="149" t="s">
        <v>72</v>
      </c>
      <c r="K34" s="149"/>
      <c r="L34" s="163"/>
      <c r="M34" s="163"/>
      <c r="N34" s="147"/>
      <c r="O34" s="147"/>
      <c r="P34" s="147"/>
      <c r="Q34" s="147"/>
      <c r="R34" s="146"/>
      <c r="S34" s="146"/>
      <c r="T34" s="147"/>
      <c r="U34" s="138" t="s">
        <v>76</v>
      </c>
      <c r="V34" s="144"/>
      <c r="W34" s="152"/>
      <c r="X34" s="143" t="s">
        <v>79</v>
      </c>
      <c r="Y34" s="152" t="str">
        <f>CONCATENATE(AQ35,AR35,AQ36,AR35,AQ37,AR35,AR37)</f>
        <v>10×0×0×0.001</v>
      </c>
      <c r="Z34" s="16"/>
      <c r="AA34" s="16"/>
      <c r="AB34" s="149"/>
      <c r="AC34" s="141"/>
      <c r="AD34" s="141"/>
      <c r="AE34" s="141"/>
      <c r="AF34" s="141"/>
      <c r="AG34" s="141"/>
      <c r="AH34" s="153" t="s">
        <v>116</v>
      </c>
      <c r="AI34" s="23"/>
      <c r="AJ34" s="28" t="s">
        <v>75</v>
      </c>
      <c r="AK34" s="183">
        <v>10</v>
      </c>
      <c r="AL34" s="180"/>
      <c r="AN34" s="110"/>
      <c r="AO34" s="110"/>
      <c r="AP34" s="111"/>
      <c r="AQ34" s="111"/>
      <c r="AR34" s="112"/>
      <c r="AS34" s="113"/>
      <c r="AT34" s="111"/>
      <c r="AU34" s="110"/>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row>
    <row r="35" spans="1:257" ht="15.95" customHeight="1">
      <c r="A35" s="14"/>
      <c r="B35" s="33"/>
      <c r="C35" s="23"/>
      <c r="D35" s="23"/>
      <c r="E35" s="23"/>
      <c r="F35" s="77"/>
      <c r="G35" s="149"/>
      <c r="H35" s="163"/>
      <c r="I35" s="143" t="s">
        <v>129</v>
      </c>
      <c r="J35" s="149" t="s">
        <v>71</v>
      </c>
      <c r="K35" s="149"/>
      <c r="L35" s="163"/>
      <c r="M35" s="163"/>
      <c r="N35" s="147"/>
      <c r="O35" s="147"/>
      <c r="P35" s="147"/>
      <c r="Q35" s="147"/>
      <c r="R35" s="146"/>
      <c r="S35" s="146"/>
      <c r="T35" s="147"/>
      <c r="U35" s="138" t="s">
        <v>77</v>
      </c>
      <c r="V35" s="144"/>
      <c r="W35" s="164"/>
      <c r="X35" s="151" t="s">
        <v>84</v>
      </c>
      <c r="Y35" s="299">
        <f>AS35</f>
        <v>0</v>
      </c>
      <c r="Z35" s="299"/>
      <c r="AA35" s="209"/>
      <c r="AB35" s="149" t="s">
        <v>92</v>
      </c>
      <c r="AC35" s="141"/>
      <c r="AD35" s="141"/>
      <c r="AE35" s="141"/>
      <c r="AF35" s="141"/>
      <c r="AG35" s="141"/>
      <c r="AH35" s="144"/>
      <c r="AI35" s="23"/>
      <c r="AJ35" s="28" t="s">
        <v>74</v>
      </c>
      <c r="AK35" s="206">
        <f>U7</f>
        <v>0</v>
      </c>
      <c r="AL35" s="180"/>
      <c r="AO35" s="3" t="s">
        <v>81</v>
      </c>
      <c r="AP35" s="1"/>
      <c r="AQ35" s="1">
        <f>AK34</f>
        <v>10</v>
      </c>
      <c r="AR35" s="1" t="s">
        <v>82</v>
      </c>
      <c r="AS35" s="3">
        <f>AQ35*AQ36*AQ37*AR37</f>
        <v>0</v>
      </c>
      <c r="BB35" s="1"/>
      <c r="BC35" s="1"/>
      <c r="BD35" s="1"/>
      <c r="BE35" s="1" t="s">
        <v>151</v>
      </c>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row>
    <row r="36" spans="1:257" ht="15.95" customHeight="1">
      <c r="A36" s="14"/>
      <c r="B36" s="21"/>
      <c r="C36" s="23"/>
      <c r="D36" s="23"/>
      <c r="E36" s="23"/>
      <c r="F36" s="77"/>
      <c r="G36" s="149"/>
      <c r="H36" s="163"/>
      <c r="I36" s="143" t="s">
        <v>70</v>
      </c>
      <c r="J36" s="149" t="s">
        <v>85</v>
      </c>
      <c r="K36" s="149"/>
      <c r="L36" s="163"/>
      <c r="M36" s="163"/>
      <c r="N36" s="147"/>
      <c r="O36" s="147"/>
      <c r="P36" s="147"/>
      <c r="Q36" s="147"/>
      <c r="R36" s="146"/>
      <c r="S36" s="146"/>
      <c r="T36" s="147"/>
      <c r="U36" s="138" t="s">
        <v>78</v>
      </c>
      <c r="V36" s="144"/>
      <c r="W36" s="164"/>
      <c r="X36" s="142"/>
      <c r="Y36" s="142"/>
      <c r="Z36" s="142"/>
      <c r="AA36" s="141"/>
      <c r="AB36" s="141"/>
      <c r="AC36" s="141"/>
      <c r="AD36" s="141"/>
      <c r="AE36" s="141"/>
      <c r="AF36" s="141"/>
      <c r="AG36" s="141"/>
      <c r="AH36" s="153" t="s">
        <v>86</v>
      </c>
      <c r="AI36" s="23"/>
      <c r="AJ36" s="28" t="s">
        <v>73</v>
      </c>
      <c r="AK36" s="322">
        <f>AB7</f>
        <v>0</v>
      </c>
      <c r="AL36" s="323"/>
      <c r="AP36" s="1"/>
      <c r="AQ36" s="1">
        <f>AK35</f>
        <v>0</v>
      </c>
      <c r="AR36" s="109"/>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spans="1:257" ht="14.25" customHeight="1">
      <c r="A37" s="14"/>
      <c r="B37" s="74"/>
      <c r="C37" s="71"/>
      <c r="D37" s="71"/>
      <c r="E37" s="71"/>
      <c r="F37" s="78"/>
      <c r="G37" s="161"/>
      <c r="H37" s="154"/>
      <c r="I37" s="155"/>
      <c r="J37" s="159"/>
      <c r="K37" s="159"/>
      <c r="L37" s="158"/>
      <c r="M37" s="158"/>
      <c r="N37" s="158"/>
      <c r="O37" s="158"/>
      <c r="P37" s="158"/>
      <c r="Q37" s="158"/>
      <c r="R37" s="158"/>
      <c r="S37" s="159"/>
      <c r="T37" s="158"/>
      <c r="U37" s="155"/>
      <c r="V37" s="160"/>
      <c r="W37" s="165"/>
      <c r="X37" s="166"/>
      <c r="Y37" s="154"/>
      <c r="Z37" s="154"/>
      <c r="AA37" s="161"/>
      <c r="AB37" s="161"/>
      <c r="AC37" s="161"/>
      <c r="AD37" s="161"/>
      <c r="AE37" s="161"/>
      <c r="AF37" s="161"/>
      <c r="AG37" s="161"/>
      <c r="AH37" s="160"/>
      <c r="AI37" s="71"/>
      <c r="AJ37" s="72"/>
      <c r="AK37" s="285"/>
      <c r="AL37" s="286"/>
      <c r="AQ37" s="1">
        <f>AK36</f>
        <v>0</v>
      </c>
      <c r="AR37" s="1">
        <v>1E-3</v>
      </c>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row>
    <row r="38" spans="1:257" ht="16.5" customHeight="1">
      <c r="A38" s="14"/>
      <c r="B38" s="34" t="s">
        <v>172</v>
      </c>
      <c r="C38" s="23"/>
      <c r="D38" s="23"/>
      <c r="E38" s="23"/>
      <c r="F38" s="23"/>
      <c r="G38" s="167" t="s">
        <v>176</v>
      </c>
      <c r="H38" s="141"/>
      <c r="I38" s="141"/>
      <c r="J38" s="141"/>
      <c r="K38" s="141"/>
      <c r="L38" s="142"/>
      <c r="M38" s="142"/>
      <c r="N38" s="142"/>
      <c r="O38" s="142"/>
      <c r="P38" s="142"/>
      <c r="Q38" s="142"/>
      <c r="R38" s="142"/>
      <c r="S38" s="141"/>
      <c r="T38" s="142"/>
      <c r="U38" s="143" t="s">
        <v>69</v>
      </c>
      <c r="V38" s="144"/>
      <c r="W38" s="142" t="s">
        <v>177</v>
      </c>
      <c r="X38" s="142"/>
      <c r="Y38" s="142"/>
      <c r="Z38" s="142"/>
      <c r="AA38" s="141"/>
      <c r="AB38" s="141"/>
      <c r="AC38" s="141"/>
      <c r="AD38" s="141"/>
      <c r="AE38" s="141"/>
      <c r="AF38" s="141"/>
      <c r="AG38" s="141"/>
      <c r="AH38" s="144"/>
      <c r="AI38" s="23"/>
      <c r="AJ38" s="40"/>
      <c r="AK38" s="40"/>
      <c r="AL38" s="180"/>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spans="1:257" ht="15.95" customHeight="1">
      <c r="A39" s="14"/>
      <c r="B39" s="32"/>
      <c r="C39" s="23"/>
      <c r="D39" s="23"/>
      <c r="E39" s="23"/>
      <c r="F39" s="176"/>
      <c r="G39" s="149" t="s">
        <v>142</v>
      </c>
      <c r="H39" s="163"/>
      <c r="I39" s="143" t="s">
        <v>89</v>
      </c>
      <c r="J39" s="149" t="s">
        <v>114</v>
      </c>
      <c r="K39" s="149"/>
      <c r="L39" s="163"/>
      <c r="M39" s="163"/>
      <c r="N39" s="163"/>
      <c r="O39" s="163"/>
      <c r="P39" s="163"/>
      <c r="Q39" s="163"/>
      <c r="R39" s="149"/>
      <c r="S39" s="149"/>
      <c r="T39" s="163"/>
      <c r="U39" s="143" t="s">
        <v>90</v>
      </c>
      <c r="V39" s="177"/>
      <c r="W39" s="152"/>
      <c r="X39" s="143" t="s">
        <v>87</v>
      </c>
      <c r="Y39" s="152" t="str">
        <f>CONCATENATE(AQ40,AR35,AQ42,AR35,AQ44)</f>
        <v>0.09×0×0</v>
      </c>
      <c r="Z39" s="163"/>
      <c r="AA39" s="149"/>
      <c r="AB39" s="149"/>
      <c r="AC39" s="141"/>
      <c r="AD39" s="141"/>
      <c r="AE39" s="141"/>
      <c r="AF39" s="141"/>
      <c r="AG39" s="141"/>
      <c r="AH39" s="153" t="s">
        <v>115</v>
      </c>
      <c r="AI39" s="23"/>
      <c r="AJ39" s="28" t="s">
        <v>91</v>
      </c>
      <c r="AK39" s="283">
        <v>0.09</v>
      </c>
      <c r="AL39" s="284"/>
      <c r="AS39" s="110" t="s">
        <v>83</v>
      </c>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row>
    <row r="40" spans="1:257" ht="15.95" customHeight="1">
      <c r="A40" s="14"/>
      <c r="B40" s="32"/>
      <c r="C40" s="23"/>
      <c r="D40" s="23"/>
      <c r="E40" s="23"/>
      <c r="F40" s="77"/>
      <c r="G40" s="146"/>
      <c r="H40" s="142"/>
      <c r="I40" s="143" t="s">
        <v>129</v>
      </c>
      <c r="J40" s="149" t="s">
        <v>71</v>
      </c>
      <c r="K40" s="149"/>
      <c r="L40" s="163"/>
      <c r="M40" s="163"/>
      <c r="N40" s="147"/>
      <c r="O40" s="147"/>
      <c r="P40" s="147"/>
      <c r="Q40" s="147"/>
      <c r="R40" s="146"/>
      <c r="S40" s="146"/>
      <c r="T40" s="147"/>
      <c r="U40" s="138"/>
      <c r="V40" s="144"/>
      <c r="W40" s="152"/>
      <c r="X40" s="151" t="s">
        <v>84</v>
      </c>
      <c r="Y40" s="299">
        <f>AS40</f>
        <v>0</v>
      </c>
      <c r="Z40" s="299"/>
      <c r="AA40" s="211"/>
      <c r="AB40" s="149" t="s">
        <v>144</v>
      </c>
      <c r="AC40" s="141"/>
      <c r="AD40" s="141"/>
      <c r="AE40" s="141"/>
      <c r="AF40" s="141"/>
      <c r="AG40" s="141"/>
      <c r="AH40" s="215"/>
      <c r="AI40" s="23"/>
      <c r="AJ40" s="28" t="s">
        <v>74</v>
      </c>
      <c r="AK40" s="206">
        <f>U7</f>
        <v>0</v>
      </c>
      <c r="AL40" s="180"/>
      <c r="AO40" s="3" t="s">
        <v>88</v>
      </c>
      <c r="AQ40" s="3">
        <f>AK39</f>
        <v>0.09</v>
      </c>
      <c r="AS40" s="3">
        <f>AQ40*AQ42*AQ44</f>
        <v>0</v>
      </c>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spans="1:257" ht="15.95" customHeight="1">
      <c r="A41" s="14"/>
      <c r="B41" s="32"/>
      <c r="C41" s="23"/>
      <c r="D41" s="23"/>
      <c r="E41" s="23"/>
      <c r="F41" s="77"/>
      <c r="G41" s="146"/>
      <c r="H41" s="142"/>
      <c r="I41" s="143" t="s">
        <v>70</v>
      </c>
      <c r="J41" s="149" t="s">
        <v>85</v>
      </c>
      <c r="K41" s="149"/>
      <c r="L41" s="163"/>
      <c r="M41" s="163"/>
      <c r="N41" s="147"/>
      <c r="O41" s="147"/>
      <c r="P41" s="147"/>
      <c r="Q41" s="147"/>
      <c r="R41" s="146"/>
      <c r="S41" s="146"/>
      <c r="T41" s="147"/>
      <c r="U41" s="203"/>
      <c r="V41" s="144"/>
      <c r="W41" s="152"/>
      <c r="X41" s="151"/>
      <c r="Y41" s="201"/>
      <c r="Z41" s="201"/>
      <c r="AA41" s="211"/>
      <c r="AB41" s="149"/>
      <c r="AC41" s="141"/>
      <c r="AD41" s="141"/>
      <c r="AE41" s="141"/>
      <c r="AF41" s="141"/>
      <c r="AG41" s="141"/>
      <c r="AH41" s="153" t="s">
        <v>86</v>
      </c>
      <c r="AI41" s="23"/>
      <c r="AJ41" s="28" t="s">
        <v>73</v>
      </c>
      <c r="AK41" s="322">
        <f>AB7</f>
        <v>0</v>
      </c>
      <c r="AL41" s="323"/>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row>
    <row r="42" spans="1:257" ht="15.95" customHeight="1">
      <c r="A42" s="14"/>
      <c r="B42" s="115"/>
      <c r="C42" s="116"/>
      <c r="D42" s="116"/>
      <c r="E42" s="116"/>
      <c r="F42" s="117"/>
      <c r="G42" s="168"/>
      <c r="H42" s="169"/>
      <c r="I42" s="170"/>
      <c r="J42" s="171"/>
      <c r="K42" s="171"/>
      <c r="L42" s="172"/>
      <c r="M42" s="172"/>
      <c r="N42" s="172"/>
      <c r="O42" s="172"/>
      <c r="P42" s="172"/>
      <c r="Q42" s="172"/>
      <c r="R42" s="171"/>
      <c r="S42" s="171"/>
      <c r="T42" s="172"/>
      <c r="U42" s="170"/>
      <c r="V42" s="173"/>
      <c r="W42" s="174"/>
      <c r="X42" s="169"/>
      <c r="Y42" s="169"/>
      <c r="Z42" s="169"/>
      <c r="AA42" s="168"/>
      <c r="AB42" s="168"/>
      <c r="AC42" s="168"/>
      <c r="AD42" s="168"/>
      <c r="AE42" s="168"/>
      <c r="AF42" s="168"/>
      <c r="AG42" s="168"/>
      <c r="AH42" s="173"/>
      <c r="AI42" s="116"/>
      <c r="AJ42" s="118"/>
      <c r="AK42" s="119"/>
      <c r="AL42" s="181"/>
      <c r="AQ42" s="3">
        <f>AK35</f>
        <v>0</v>
      </c>
      <c r="BB42" s="1"/>
      <c r="BC42" s="1"/>
      <c r="BD42" s="1"/>
      <c r="BE42" s="1" t="s">
        <v>152</v>
      </c>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row>
    <row r="43" spans="1:257" ht="17.25" customHeight="1">
      <c r="A43" s="14"/>
      <c r="B43" s="41" t="s">
        <v>93</v>
      </c>
      <c r="C43" s="23"/>
      <c r="D43" s="23"/>
      <c r="E43" s="23"/>
      <c r="F43" s="79"/>
      <c r="G43" s="63" t="s">
        <v>16</v>
      </c>
      <c r="H43" s="22"/>
      <c r="I43" s="22"/>
      <c r="J43" s="22"/>
      <c r="K43" s="22"/>
      <c r="L43" s="22"/>
      <c r="M43" s="22"/>
      <c r="N43" s="22"/>
      <c r="O43" s="22"/>
      <c r="P43" s="23"/>
      <c r="Q43" s="23"/>
      <c r="R43" s="22"/>
      <c r="S43" s="22"/>
      <c r="T43" s="22"/>
      <c r="U43" s="22"/>
      <c r="V43" s="22"/>
      <c r="W43" s="329" t="s">
        <v>28</v>
      </c>
      <c r="X43" s="329"/>
      <c r="Y43" s="329"/>
      <c r="Z43" s="329"/>
      <c r="AA43" s="329"/>
      <c r="AB43" s="329"/>
      <c r="AC43" s="329"/>
      <c r="AD43" s="329"/>
      <c r="AE43" s="329"/>
      <c r="AF43" s="329"/>
      <c r="AG43" s="329"/>
      <c r="AH43" s="329"/>
      <c r="AI43" s="22"/>
      <c r="AJ43" s="23"/>
      <c r="AK43" s="22"/>
      <c r="AL43" s="35"/>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row>
    <row r="44" spans="1:257" ht="15.95" customHeight="1">
      <c r="A44" s="14"/>
      <c r="B44" s="190"/>
      <c r="C44" s="191"/>
      <c r="D44" s="191"/>
      <c r="E44" s="191"/>
      <c r="F44" s="188"/>
      <c r="G44" s="22"/>
      <c r="H44" s="28" t="s">
        <v>145</v>
      </c>
      <c r="I44" s="265" t="s">
        <v>95</v>
      </c>
      <c r="J44" s="265"/>
      <c r="K44" s="265"/>
      <c r="L44" s="265"/>
      <c r="M44" s="217" t="str">
        <f>MAX(Y24,Y29)&amp;"  [Ｌ/min]"</f>
        <v>0  [Ｌ/min]</v>
      </c>
      <c r="N44" s="216"/>
      <c r="O44" s="216"/>
      <c r="P44" s="23"/>
      <c r="Q44" s="23"/>
      <c r="R44" s="22"/>
      <c r="S44" s="22"/>
      <c r="T44" s="22"/>
      <c r="U44" s="22"/>
      <c r="V44" s="22"/>
      <c r="W44" s="326" t="s">
        <v>32</v>
      </c>
      <c r="X44" s="327"/>
      <c r="Y44" s="327"/>
      <c r="Z44" s="327"/>
      <c r="AA44" s="327"/>
      <c r="AB44" s="327"/>
      <c r="AC44" s="328"/>
      <c r="AD44" s="330" t="str">
        <f>製品一覧!S70</f>
        <v>-</v>
      </c>
      <c r="AE44" s="331"/>
      <c r="AF44" s="332"/>
      <c r="AG44" s="303" t="s">
        <v>13</v>
      </c>
      <c r="AH44" s="304"/>
      <c r="AI44" s="22"/>
      <c r="AJ44" s="23"/>
      <c r="AK44" s="22"/>
      <c r="AL44" s="35"/>
      <c r="AN44" s="217">
        <f>MAX(Y24,Y29)</f>
        <v>0</v>
      </c>
      <c r="AQ44" s="3">
        <f>AK36</f>
        <v>0</v>
      </c>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row>
    <row r="45" spans="1:257" ht="15.95" customHeight="1">
      <c r="A45" s="14"/>
      <c r="B45" s="190"/>
      <c r="C45" s="191"/>
      <c r="D45" s="191"/>
      <c r="E45" s="191"/>
      <c r="F45" s="187"/>
      <c r="G45" s="22"/>
      <c r="H45" s="28" t="s">
        <v>94</v>
      </c>
      <c r="I45" s="265" t="s">
        <v>169</v>
      </c>
      <c r="J45" s="265"/>
      <c r="K45" s="265"/>
      <c r="L45" s="265"/>
      <c r="M45" s="26" t="str">
        <f>FIXED(Y35,1,TRUE)&amp;"  [L]"</f>
        <v>0.0  [L]</v>
      </c>
      <c r="N45" s="40"/>
      <c r="O45" s="22"/>
      <c r="P45" s="23"/>
      <c r="Q45" s="23"/>
      <c r="R45" s="22"/>
      <c r="S45" s="22"/>
      <c r="T45" s="22"/>
      <c r="U45" s="22"/>
      <c r="V45" s="22"/>
      <c r="W45" s="305" t="s">
        <v>170</v>
      </c>
      <c r="X45" s="306"/>
      <c r="Y45" s="306"/>
      <c r="Z45" s="306"/>
      <c r="AA45" s="306"/>
      <c r="AB45" s="306"/>
      <c r="AC45" s="307"/>
      <c r="AD45" s="330" t="str">
        <f>製品一覧!S71</f>
        <v>-</v>
      </c>
      <c r="AE45" s="331"/>
      <c r="AF45" s="332"/>
      <c r="AG45" s="303" t="s">
        <v>96</v>
      </c>
      <c r="AH45" s="304"/>
      <c r="AI45" s="25"/>
      <c r="AJ45" s="23"/>
      <c r="AK45" s="22"/>
      <c r="AL45" s="35"/>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row>
    <row r="46" spans="1:257" ht="15.95" customHeight="1">
      <c r="A46" s="14"/>
      <c r="B46" s="34"/>
      <c r="C46" s="189"/>
      <c r="D46" s="189"/>
      <c r="E46" s="189"/>
      <c r="F46" s="77"/>
      <c r="G46" s="39"/>
      <c r="H46" s="28" t="s">
        <v>146</v>
      </c>
      <c r="I46" s="265" t="s">
        <v>183</v>
      </c>
      <c r="J46" s="265"/>
      <c r="K46" s="265"/>
      <c r="L46" s="265"/>
      <c r="M46" s="131" t="str">
        <f>FIXED(Y40,1,TRUE)&amp;"  [L]"</f>
        <v>0.0  [L]</v>
      </c>
      <c r="N46" s="40"/>
      <c r="O46" s="22"/>
      <c r="P46" s="23"/>
      <c r="Q46" s="23"/>
      <c r="R46" s="22"/>
      <c r="S46" s="22"/>
      <c r="T46" s="22"/>
      <c r="U46" s="22"/>
      <c r="V46" s="22"/>
      <c r="W46" s="305" t="s">
        <v>173</v>
      </c>
      <c r="X46" s="306"/>
      <c r="Y46" s="306"/>
      <c r="Z46" s="306"/>
      <c r="AA46" s="306"/>
      <c r="AB46" s="306"/>
      <c r="AC46" s="307"/>
      <c r="AD46" s="330" t="str">
        <f>製品一覧!S72</f>
        <v>-</v>
      </c>
      <c r="AE46" s="331"/>
      <c r="AF46" s="332"/>
      <c r="AG46" s="303" t="s">
        <v>96</v>
      </c>
      <c r="AH46" s="304"/>
      <c r="AI46" s="22"/>
      <c r="AJ46" s="23"/>
      <c r="AK46" s="22"/>
      <c r="AL46" s="35"/>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row>
    <row r="47" spans="1:257" ht="15.95" customHeight="1" thickBot="1">
      <c r="A47" s="14"/>
      <c r="B47" s="21"/>
      <c r="C47" s="23"/>
      <c r="D47" s="23"/>
      <c r="E47" s="23"/>
      <c r="F47" s="77"/>
      <c r="G47" s="63" t="s">
        <v>34</v>
      </c>
      <c r="H47" s="36"/>
      <c r="I47" s="36"/>
      <c r="J47" s="36"/>
      <c r="K47" s="37"/>
      <c r="L47" s="27"/>
      <c r="M47" s="22"/>
      <c r="N47" s="22"/>
      <c r="O47" s="22"/>
      <c r="P47" s="23"/>
      <c r="Q47" s="23"/>
      <c r="R47" s="22"/>
      <c r="S47" s="22"/>
      <c r="T47" s="22"/>
      <c r="U47" s="22"/>
      <c r="V47" s="22"/>
      <c r="W47" s="22"/>
      <c r="X47" s="22"/>
      <c r="Y47" s="22"/>
      <c r="Z47" s="22"/>
      <c r="AA47" s="22"/>
      <c r="AB47" s="22"/>
      <c r="AC47" s="22"/>
      <c r="AD47" s="22"/>
      <c r="AE47" s="23"/>
      <c r="AF47" s="23"/>
      <c r="AG47" s="22"/>
      <c r="AH47" s="22"/>
      <c r="AI47" s="22"/>
      <c r="AJ47" s="23"/>
      <c r="AK47" s="22"/>
      <c r="AL47" s="35"/>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row>
    <row r="48" spans="1:257" ht="18.75" customHeight="1">
      <c r="A48" s="14"/>
      <c r="B48" s="21"/>
      <c r="C48" s="23"/>
      <c r="D48" s="23"/>
      <c r="E48" s="23"/>
      <c r="F48" s="77"/>
      <c r="G48" s="22"/>
      <c r="H48" s="297" t="s">
        <v>30</v>
      </c>
      <c r="I48" s="298"/>
      <c r="J48" s="298"/>
      <c r="K48" s="67" t="s">
        <v>29</v>
      </c>
      <c r="L48" s="312" t="s">
        <v>224</v>
      </c>
      <c r="M48" s="312"/>
      <c r="N48" s="312"/>
      <c r="O48" s="313"/>
      <c r="P48" s="309" t="s">
        <v>7</v>
      </c>
      <c r="Q48" s="310"/>
      <c r="R48" s="310"/>
      <c r="S48" s="311"/>
      <c r="T48" s="202" t="s">
        <v>110</v>
      </c>
      <c r="U48" s="204"/>
      <c r="V48" s="204"/>
      <c r="W48" s="204"/>
      <c r="X48" s="204"/>
      <c r="Y48" s="204"/>
      <c r="Z48" s="204"/>
      <c r="AA48" s="204"/>
      <c r="AB48" s="204"/>
      <c r="AC48" s="204"/>
      <c r="AD48" s="204"/>
      <c r="AE48" s="204"/>
      <c r="AF48" s="204"/>
      <c r="AG48" s="205"/>
      <c r="AH48" s="22"/>
      <c r="AI48" s="22"/>
      <c r="AJ48" s="23"/>
      <c r="AK48" s="22"/>
      <c r="AL48" s="35"/>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row>
    <row r="49" spans="1:257" ht="39" customHeight="1" thickBot="1">
      <c r="A49" s="14"/>
      <c r="B49" s="260" t="s">
        <v>98</v>
      </c>
      <c r="C49" s="261"/>
      <c r="D49" s="261"/>
      <c r="E49" s="261"/>
      <c r="F49" s="262"/>
      <c r="G49" s="22"/>
      <c r="H49" s="263">
        <f>N17</f>
        <v>0</v>
      </c>
      <c r="I49" s="264"/>
      <c r="J49" s="264"/>
      <c r="K49" s="68" t="s">
        <v>18</v>
      </c>
      <c r="L49" s="314">
        <f>R17</f>
        <v>0</v>
      </c>
      <c r="M49" s="314"/>
      <c r="N49" s="314"/>
      <c r="O49" s="315"/>
      <c r="P49" s="317">
        <f>Z17</f>
        <v>0</v>
      </c>
      <c r="Q49" s="318"/>
      <c r="R49" s="318"/>
      <c r="S49" s="319"/>
      <c r="T49" s="294"/>
      <c r="U49" s="295"/>
      <c r="V49" s="295"/>
      <c r="W49" s="295"/>
      <c r="X49" s="295"/>
      <c r="Y49" s="295"/>
      <c r="Z49" s="295"/>
      <c r="AA49" s="295"/>
      <c r="AB49" s="295"/>
      <c r="AC49" s="295"/>
      <c r="AD49" s="295"/>
      <c r="AE49" s="295"/>
      <c r="AF49" s="295"/>
      <c r="AG49" s="296"/>
      <c r="AH49" s="22"/>
      <c r="AI49" s="22"/>
      <c r="AJ49" s="23"/>
      <c r="AK49" s="22"/>
      <c r="AL49" s="35"/>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row>
    <row r="50" spans="1:257" ht="18.75" customHeight="1">
      <c r="A50" s="14"/>
      <c r="B50" s="260"/>
      <c r="C50" s="261"/>
      <c r="D50" s="261"/>
      <c r="E50" s="261"/>
      <c r="F50" s="262"/>
      <c r="G50" s="22"/>
      <c r="H50" s="61"/>
      <c r="I50" s="62"/>
      <c r="J50" s="59"/>
      <c r="K50" s="60"/>
      <c r="L50" s="61"/>
      <c r="M50" s="61"/>
      <c r="N50" s="61"/>
      <c r="O50" s="61"/>
      <c r="P50" s="59"/>
      <c r="Q50" s="60"/>
      <c r="R50" s="61"/>
      <c r="S50" s="61"/>
      <c r="T50" s="321"/>
      <c r="U50" s="321"/>
      <c r="V50" s="321"/>
      <c r="W50" s="321"/>
      <c r="X50" s="321"/>
      <c r="Y50" s="321"/>
      <c r="Z50" s="321"/>
      <c r="AA50" s="321"/>
      <c r="AB50" s="321"/>
      <c r="AC50" s="321"/>
      <c r="AD50" s="321"/>
      <c r="AE50" s="321"/>
      <c r="AF50" s="321"/>
      <c r="AG50" s="321"/>
      <c r="AH50" s="22"/>
      <c r="AI50" s="22"/>
      <c r="AJ50" s="23"/>
      <c r="AK50" s="22"/>
      <c r="AL50" s="35"/>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row>
    <row r="51" spans="1:257" ht="21.75" customHeight="1">
      <c r="A51" s="14"/>
      <c r="B51" s="253" t="s">
        <v>179</v>
      </c>
      <c r="C51" s="254"/>
      <c r="D51" s="254"/>
      <c r="E51" s="254"/>
      <c r="F51" s="255"/>
      <c r="G51" s="65"/>
      <c r="H51" s="199" t="s">
        <v>147</v>
      </c>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200"/>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spans="1:257" ht="20.25" customHeight="1">
      <c r="A52" s="14"/>
      <c r="B52" s="253" t="s">
        <v>99</v>
      </c>
      <c r="C52" s="254"/>
      <c r="D52" s="254"/>
      <c r="E52" s="254"/>
      <c r="F52" s="255"/>
      <c r="G52" s="65"/>
      <c r="H52" s="320" t="s">
        <v>117</v>
      </c>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0"/>
      <c r="AL52" s="198"/>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row>
    <row r="53" spans="1:257" ht="19.5" customHeight="1" thickBot="1">
      <c r="A53" s="14"/>
      <c r="B53" s="29"/>
      <c r="C53" s="30"/>
      <c r="D53" s="30"/>
      <c r="E53" s="30"/>
      <c r="F53" s="30"/>
      <c r="G53" s="84"/>
      <c r="H53" s="38"/>
      <c r="I53" s="38" t="s">
        <v>97</v>
      </c>
      <c r="J53" s="66"/>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3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row>
    <row r="54" spans="1:257" ht="20.25" customHeight="1">
      <c r="A54" s="14"/>
      <c r="B54" s="17"/>
      <c r="C54" s="17"/>
      <c r="D54" s="17"/>
      <c r="E54" s="17"/>
      <c r="F54" s="17"/>
      <c r="G54" s="17"/>
      <c r="H54" s="17"/>
      <c r="I54" s="17"/>
      <c r="J54" s="17"/>
      <c r="K54" s="17"/>
      <c r="L54" s="17"/>
      <c r="M54" s="42"/>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86" t="s">
        <v>280</v>
      </c>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row>
    <row r="55" spans="1:257" ht="9" customHeight="1">
      <c r="A55" s="324"/>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4"/>
      <c r="AL55" s="324"/>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row>
    <row r="56" spans="1:257" ht="14.25">
      <c r="A56" s="1"/>
      <c r="B56" s="1"/>
      <c r="C56" s="1"/>
      <c r="D56" s="1"/>
      <c r="E56" s="1"/>
      <c r="F56" s="1"/>
      <c r="G56" s="1"/>
      <c r="H56" s="1"/>
      <c r="M56" s="308"/>
      <c r="N56" s="308"/>
      <c r="O56" s="308"/>
      <c r="P56" s="1"/>
      <c r="Q56" s="1"/>
      <c r="R56" s="197"/>
      <c r="S56" s="197"/>
      <c r="T56" s="197"/>
      <c r="U56" s="197"/>
      <c r="V56" s="197"/>
      <c r="W56" s="197"/>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row>
    <row r="57" spans="1:257" ht="14.25">
      <c r="A57" s="1"/>
      <c r="B57" s="1"/>
      <c r="C57" s="1"/>
      <c r="D57" s="1"/>
      <c r="E57" s="1"/>
      <c r="F57" s="1"/>
      <c r="G57" s="1"/>
      <c r="H57" s="1"/>
      <c r="M57" s="1"/>
      <c r="N57" s="1"/>
      <c r="O57" s="1"/>
      <c r="P57" s="316"/>
      <c r="Q57" s="316"/>
      <c r="R57" s="316"/>
      <c r="S57" s="316"/>
      <c r="T57" s="197"/>
      <c r="U57" s="197"/>
      <c r="V57" s="197"/>
      <c r="W57" s="197"/>
      <c r="X57" s="197"/>
      <c r="Y57" s="197"/>
      <c r="Z57" s="197"/>
      <c r="AA57" s="197"/>
      <c r="AB57" s="197"/>
      <c r="AC57" s="197"/>
      <c r="AD57" s="197"/>
      <c r="AE57" s="197"/>
      <c r="AF57" s="197"/>
      <c r="AG57" s="197"/>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row>
    <row r="58" spans="1:257" ht="14.25">
      <c r="A58" s="1"/>
      <c r="B58" s="1"/>
      <c r="C58" s="1"/>
      <c r="D58" s="1"/>
      <c r="E58" s="1"/>
      <c r="F58" s="1"/>
      <c r="G58" s="1"/>
      <c r="H58" s="1"/>
      <c r="I58" s="1"/>
      <c r="J58" s="1"/>
      <c r="K58" s="1"/>
      <c r="L58" s="1"/>
      <c r="M58" s="1"/>
      <c r="N58" s="1"/>
      <c r="O58" s="1"/>
      <c r="P58" s="1"/>
      <c r="Q58" s="1"/>
      <c r="R58" s="1"/>
      <c r="S58" s="1"/>
      <c r="T58" s="197"/>
      <c r="U58" s="197"/>
      <c r="V58" s="197"/>
      <c r="W58" s="197"/>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row>
    <row r="59" spans="1:257" ht="14.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row>
    <row r="60" spans="1:257" ht="14.25">
      <c r="A60" s="1"/>
      <c r="B60" s="1"/>
      <c r="C60" s="1"/>
      <c r="D60" s="1"/>
      <c r="E60" s="1"/>
      <c r="F60" s="1"/>
      <c r="G60" s="1"/>
      <c r="H60" s="1"/>
      <c r="I60" s="1"/>
      <c r="J60" s="1"/>
      <c r="K60" s="1"/>
      <c r="L60" s="1"/>
      <c r="M60" s="1"/>
      <c r="N60" s="1"/>
      <c r="O60" s="316"/>
      <c r="P60" s="316"/>
      <c r="Q60" s="316"/>
      <c r="R60" s="1"/>
      <c r="S60" s="1"/>
      <c r="T60" s="197"/>
      <c r="U60" s="197"/>
      <c r="V60" s="197"/>
      <c r="W60" s="197"/>
      <c r="X60" s="197"/>
      <c r="Y60" s="197"/>
      <c r="Z60" s="197"/>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row>
    <row r="61" spans="1:257" ht="14.25">
      <c r="A61" s="1"/>
      <c r="B61" s="1"/>
      <c r="C61" s="1"/>
      <c r="D61" s="1"/>
      <c r="E61" s="1"/>
      <c r="F61" s="1"/>
      <c r="G61" s="1"/>
      <c r="H61" s="1"/>
      <c r="I61" s="1"/>
      <c r="J61" s="1"/>
      <c r="K61" s="1"/>
      <c r="L61" s="1"/>
      <c r="M61" s="1"/>
      <c r="N61" s="1"/>
      <c r="O61" s="1"/>
      <c r="P61" s="1"/>
      <c r="Q61" s="1"/>
      <c r="R61" s="1"/>
      <c r="S61" s="1"/>
      <c r="T61" s="197"/>
      <c r="U61" s="197"/>
      <c r="V61" s="197"/>
      <c r="W61" s="197"/>
      <c r="X61" s="197"/>
      <c r="Y61" s="197"/>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row>
    <row r="62" spans="1:257" ht="14.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row>
    <row r="63" spans="1:257" ht="14.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row>
    <row r="64" spans="1:257" ht="14.25">
      <c r="A64" s="1"/>
      <c r="B64" s="1"/>
      <c r="C64" s="1"/>
      <c r="D64" s="1"/>
      <c r="E64" s="1"/>
      <c r="F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row>
    <row r="65" spans="1:257" ht="14.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row>
    <row r="66" spans="1:257" ht="14.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row>
    <row r="67" spans="1:257" ht="14.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row>
    <row r="68" spans="1:257" ht="14.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row>
    <row r="69" spans="1:257" ht="14.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row>
    <row r="70" spans="1:257" ht="14.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row>
    <row r="71" spans="1:257" ht="14.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row>
    <row r="72" spans="1:257" ht="14.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row>
    <row r="73" spans="1:257" ht="14.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row>
    <row r="74" spans="1:257" ht="14.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row>
    <row r="75" spans="1:257" ht="14.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row>
    <row r="76" spans="1:257" ht="14.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row>
    <row r="77" spans="1:257" ht="14.25">
      <c r="A77" s="1"/>
      <c r="B77" s="1"/>
      <c r="C77" s="1"/>
      <c r="D77" s="1"/>
      <c r="E77" s="1"/>
      <c r="F77" s="1"/>
      <c r="G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row>
    <row r="78" spans="1:257" ht="14.25">
      <c r="A78" s="1"/>
      <c r="B78" s="1"/>
      <c r="C78" s="1"/>
      <c r="D78" s="1"/>
      <c r="E78" s="1"/>
      <c r="F78" s="1"/>
      <c r="G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row>
    <row r="79" spans="1:257" ht="14.25">
      <c r="A79" s="1"/>
      <c r="B79" s="1"/>
      <c r="C79" s="1"/>
      <c r="D79" s="1"/>
      <c r="E79" s="1"/>
      <c r="F79" s="1"/>
      <c r="G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row>
    <row r="80" spans="1:257" ht="14.25">
      <c r="A80" s="1"/>
      <c r="B80" s="1"/>
      <c r="C80" s="1"/>
      <c r="D80" s="1"/>
      <c r="E80" s="1"/>
      <c r="F80" s="1"/>
      <c r="G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row>
    <row r="81" spans="1:257" ht="14.25">
      <c r="A81" s="1"/>
      <c r="B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row>
  </sheetData>
  <sheetProtection algorithmName="SHA-512" hashValue="wjEi9mLc57cj9WWwh7iz8kDRtMUx4lszidh0RUSYitZrW23AJuxKnhgVxA0+tnqB+g50nZbaEJpIZTf25GCGzg==" saltValue="dCbr4zOj/xbNV8t0fnY2nA==" spinCount="100000" sheet="1" formatCells="0" formatColumns="0" formatRows="0" insertColumns="0" insertRows="0" insertHyperlinks="0" deleteColumns="0" deleteRows="0" selectLockedCells="1" sort="0"/>
  <mergeCells count="80">
    <mergeCell ref="AK41:AL41"/>
    <mergeCell ref="A55:AL55"/>
    <mergeCell ref="Y29:Z29"/>
    <mergeCell ref="AY22:BB22"/>
    <mergeCell ref="AK30:AL30"/>
    <mergeCell ref="AK36:AL36"/>
    <mergeCell ref="W44:AC44"/>
    <mergeCell ref="W43:AH43"/>
    <mergeCell ref="AD44:AF44"/>
    <mergeCell ref="AG44:AH44"/>
    <mergeCell ref="W46:AC46"/>
    <mergeCell ref="AD46:AF46"/>
    <mergeCell ref="AG46:AH46"/>
    <mergeCell ref="AD45:AF45"/>
    <mergeCell ref="AK29:AL29"/>
    <mergeCell ref="B51:F51"/>
    <mergeCell ref="M56:O56"/>
    <mergeCell ref="P48:S48"/>
    <mergeCell ref="L48:O48"/>
    <mergeCell ref="L49:O49"/>
    <mergeCell ref="O60:Q60"/>
    <mergeCell ref="P57:S57"/>
    <mergeCell ref="P49:S49"/>
    <mergeCell ref="H52:AK52"/>
    <mergeCell ref="T50:AG50"/>
    <mergeCell ref="B6:D6"/>
    <mergeCell ref="E6:G6"/>
    <mergeCell ref="B7:C7"/>
    <mergeCell ref="T49:AG49"/>
    <mergeCell ref="H48:J48"/>
    <mergeCell ref="AB6:AE6"/>
    <mergeCell ref="AB7:AC7"/>
    <mergeCell ref="AD7:AE7"/>
    <mergeCell ref="Y40:Z40"/>
    <mergeCell ref="F12:J12"/>
    <mergeCell ref="F11:L11"/>
    <mergeCell ref="AG45:AH45"/>
    <mergeCell ref="W45:AC45"/>
    <mergeCell ref="Y35:Z35"/>
    <mergeCell ref="Y24:Z24"/>
    <mergeCell ref="W21:AH21"/>
    <mergeCell ref="N16:Q16"/>
    <mergeCell ref="Z16:AD16"/>
    <mergeCell ref="B11:E11"/>
    <mergeCell ref="D12:E12"/>
    <mergeCell ref="B12:C12"/>
    <mergeCell ref="AI20:AL20"/>
    <mergeCell ref="AK39:AL39"/>
    <mergeCell ref="AK37:AL37"/>
    <mergeCell ref="AK24:AL24"/>
    <mergeCell ref="AK23:AL23"/>
    <mergeCell ref="AK27:AL27"/>
    <mergeCell ref="AK26:AL26"/>
    <mergeCell ref="AK25:AL25"/>
    <mergeCell ref="AI21:AL21"/>
    <mergeCell ref="E7:F7"/>
    <mergeCell ref="U7:V7"/>
    <mergeCell ref="U6:X6"/>
    <mergeCell ref="W7:X7"/>
    <mergeCell ref="K6:M6"/>
    <mergeCell ref="K7:L7"/>
    <mergeCell ref="N6:Q6"/>
    <mergeCell ref="N7:O7"/>
    <mergeCell ref="P7:Q7"/>
    <mergeCell ref="B52:F52"/>
    <mergeCell ref="B17:K17"/>
    <mergeCell ref="B16:K16"/>
    <mergeCell ref="K12:L12"/>
    <mergeCell ref="B49:F50"/>
    <mergeCell ref="H49:J49"/>
    <mergeCell ref="I44:L44"/>
    <mergeCell ref="I45:L45"/>
    <mergeCell ref="I46:L46"/>
    <mergeCell ref="G21:V21"/>
    <mergeCell ref="K20:AD20"/>
    <mergeCell ref="B21:F21"/>
    <mergeCell ref="R17:Y17"/>
    <mergeCell ref="R16:Y16"/>
    <mergeCell ref="Z17:AD17"/>
    <mergeCell ref="N17:Q17"/>
  </mergeCells>
  <phoneticPr fontId="1"/>
  <conditionalFormatting sqref="Z17 N17 R17 T49">
    <cfRule type="containsBlanks" dxfId="7" priority="17">
      <formula>LEN(TRIM(N17))=0</formula>
    </cfRule>
  </conditionalFormatting>
  <conditionalFormatting sqref="E7 B7">
    <cfRule type="containsBlanks" dxfId="6" priority="13">
      <formula>LEN(TRIM(B7))=0</formula>
    </cfRule>
  </conditionalFormatting>
  <conditionalFormatting sqref="U7 K7">
    <cfRule type="containsBlanks" dxfId="5" priority="11">
      <formula>LEN(TRIM(K7))=0</formula>
    </cfRule>
  </conditionalFormatting>
  <conditionalFormatting sqref="B17">
    <cfRule type="containsBlanks" dxfId="4" priority="9">
      <formula>LEN(TRIM(B17))=0</formula>
    </cfRule>
  </conditionalFormatting>
  <conditionalFormatting sqref="N7">
    <cfRule type="containsBlanks" dxfId="3" priority="8">
      <formula>LEN(TRIM(N7))=0</formula>
    </cfRule>
  </conditionalFormatting>
  <conditionalFormatting sqref="AB7">
    <cfRule type="containsBlanks" dxfId="2" priority="7">
      <formula>LEN(TRIM(AB7))=0</formula>
    </cfRule>
  </conditionalFormatting>
  <conditionalFormatting sqref="B12">
    <cfRule type="containsBlanks" dxfId="1" priority="6">
      <formula>LEN(TRIM(B12))=0</formula>
    </cfRule>
  </conditionalFormatting>
  <conditionalFormatting sqref="F12">
    <cfRule type="containsBlanks" dxfId="0" priority="1">
      <formula>LEN(TRIM(F12))=0</formula>
    </cfRule>
  </conditionalFormatting>
  <dataValidations count="4">
    <dataValidation type="list" allowBlank="1" showInputMessage="1" showErrorMessage="1" sqref="N17:Q17" xr:uid="{00000000-0002-0000-0000-000000000000}">
      <formula1>"ＦＲＰ製,ＳＵＳ製"</formula1>
    </dataValidation>
    <dataValidation type="list" allowBlank="1" showInputMessage="1" showErrorMessage="1" sqref="Z17:AD17" xr:uid="{00000000-0002-0000-0000-000002000000}">
      <formula1>"パイプ流入,側溝流入"</formula1>
    </dataValidation>
    <dataValidation type="list" allowBlank="1" showInputMessage="1" showErrorMessage="1" sqref="B7:C7" xr:uid="{00000000-0002-0000-0000-000004000000}">
      <formula1>"-,13,20"</formula1>
    </dataValidation>
    <dataValidation type="list" allowBlank="1" showInputMessage="1" showErrorMessage="1" sqref="R17:Y17" xr:uid="{F14D91E8-F297-419E-B2E6-5DC5B630B1CA}">
      <formula1>"地中埋設型,地中埋設スリム型,床吊型,床置型"</formula1>
    </dataValidation>
  </dataValidations>
  <pageMargins left="0.78740157480314965" right="0.55118110236220474" top="0.70866141732283472" bottom="0.27559055118110237" header="0.51181102362204722" footer="0.19685039370078741"/>
  <pageSetup paperSize="9" scale="90" orientation="landscape"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C52E498-8EAE-4CA7-BF70-E18ACF0FB26B}">
          <x14:formula1>
            <xm:f>製品一覧!$V$4</xm:f>
          </x14:formula1>
          <xm:sqref>T49:AG49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dimension ref="A1:Z56"/>
  <sheetViews>
    <sheetView defaultGridColor="0" topLeftCell="A4" colorId="22" workbookViewId="0"/>
  </sheetViews>
  <sheetFormatPr defaultColWidth="7.625" defaultRowHeight="14.25"/>
  <cols>
    <col min="1" max="1" width="20" style="106" customWidth="1"/>
    <col min="2" max="2" width="9" style="106" customWidth="1"/>
    <col min="3" max="3" width="8.875" style="106" customWidth="1"/>
    <col min="4" max="15" width="7.625" style="106" customWidth="1"/>
    <col min="16" max="17" width="7.625" style="106"/>
    <col min="18" max="18" width="14" style="106" bestFit="1" customWidth="1"/>
    <col min="19" max="19" width="20.375" style="106" bestFit="1" customWidth="1"/>
    <col min="20" max="20" width="26.75" style="106" bestFit="1" customWidth="1"/>
    <col min="21" max="21" width="43.75" style="106" bestFit="1" customWidth="1"/>
    <col min="22" max="256" width="7.625" style="106"/>
    <col min="257" max="257" width="16" style="106" customWidth="1"/>
    <col min="258" max="271" width="7.625" style="106" customWidth="1"/>
    <col min="272" max="512" width="7.625" style="106"/>
    <col min="513" max="513" width="16" style="106" customWidth="1"/>
    <col min="514" max="527" width="7.625" style="106" customWidth="1"/>
    <col min="528" max="768" width="7.625" style="106"/>
    <col min="769" max="769" width="16" style="106" customWidth="1"/>
    <col min="770" max="783" width="7.625" style="106" customWidth="1"/>
    <col min="784" max="1024" width="7.625" style="106"/>
    <col min="1025" max="1025" width="16" style="106" customWidth="1"/>
    <col min="1026" max="1039" width="7.625" style="106" customWidth="1"/>
    <col min="1040" max="1280" width="7.625" style="106"/>
    <col min="1281" max="1281" width="16" style="106" customWidth="1"/>
    <col min="1282" max="1295" width="7.625" style="106" customWidth="1"/>
    <col min="1296" max="1536" width="7.625" style="106"/>
    <col min="1537" max="1537" width="16" style="106" customWidth="1"/>
    <col min="1538" max="1551" width="7.625" style="106" customWidth="1"/>
    <col min="1552" max="1792" width="7.625" style="106"/>
    <col min="1793" max="1793" width="16" style="106" customWidth="1"/>
    <col min="1794" max="1807" width="7.625" style="106" customWidth="1"/>
    <col min="1808" max="2048" width="7.625" style="106"/>
    <col min="2049" max="2049" width="16" style="106" customWidth="1"/>
    <col min="2050" max="2063" width="7.625" style="106" customWidth="1"/>
    <col min="2064" max="2304" width="7.625" style="106"/>
    <col min="2305" max="2305" width="16" style="106" customWidth="1"/>
    <col min="2306" max="2319" width="7.625" style="106" customWidth="1"/>
    <col min="2320" max="2560" width="7.625" style="106"/>
    <col min="2561" max="2561" width="16" style="106" customWidth="1"/>
    <col min="2562" max="2575" width="7.625" style="106" customWidth="1"/>
    <col min="2576" max="2816" width="7.625" style="106"/>
    <col min="2817" max="2817" width="16" style="106" customWidth="1"/>
    <col min="2818" max="2831" width="7.625" style="106" customWidth="1"/>
    <col min="2832" max="3072" width="7.625" style="106"/>
    <col min="3073" max="3073" width="16" style="106" customWidth="1"/>
    <col min="3074" max="3087" width="7.625" style="106" customWidth="1"/>
    <col min="3088" max="3328" width="7.625" style="106"/>
    <col min="3329" max="3329" width="16" style="106" customWidth="1"/>
    <col min="3330" max="3343" width="7.625" style="106" customWidth="1"/>
    <col min="3344" max="3584" width="7.625" style="106"/>
    <col min="3585" max="3585" width="16" style="106" customWidth="1"/>
    <col min="3586" max="3599" width="7.625" style="106" customWidth="1"/>
    <col min="3600" max="3840" width="7.625" style="106"/>
    <col min="3841" max="3841" width="16" style="106" customWidth="1"/>
    <col min="3842" max="3855" width="7.625" style="106" customWidth="1"/>
    <col min="3856" max="4096" width="7.625" style="106"/>
    <col min="4097" max="4097" width="16" style="106" customWidth="1"/>
    <col min="4098" max="4111" width="7.625" style="106" customWidth="1"/>
    <col min="4112" max="4352" width="7.625" style="106"/>
    <col min="4353" max="4353" width="16" style="106" customWidth="1"/>
    <col min="4354" max="4367" width="7.625" style="106" customWidth="1"/>
    <col min="4368" max="4608" width="7.625" style="106"/>
    <col min="4609" max="4609" width="16" style="106" customWidth="1"/>
    <col min="4610" max="4623" width="7.625" style="106" customWidth="1"/>
    <col min="4624" max="4864" width="7.625" style="106"/>
    <col min="4865" max="4865" width="16" style="106" customWidth="1"/>
    <col min="4866" max="4879" width="7.625" style="106" customWidth="1"/>
    <col min="4880" max="5120" width="7.625" style="106"/>
    <col min="5121" max="5121" width="16" style="106" customWidth="1"/>
    <col min="5122" max="5135" width="7.625" style="106" customWidth="1"/>
    <col min="5136" max="5376" width="7.625" style="106"/>
    <col min="5377" max="5377" width="16" style="106" customWidth="1"/>
    <col min="5378" max="5391" width="7.625" style="106" customWidth="1"/>
    <col min="5392" max="5632" width="7.625" style="106"/>
    <col min="5633" max="5633" width="16" style="106" customWidth="1"/>
    <col min="5634" max="5647" width="7.625" style="106" customWidth="1"/>
    <col min="5648" max="5888" width="7.625" style="106"/>
    <col min="5889" max="5889" width="16" style="106" customWidth="1"/>
    <col min="5890" max="5903" width="7.625" style="106" customWidth="1"/>
    <col min="5904" max="6144" width="7.625" style="106"/>
    <col min="6145" max="6145" width="16" style="106" customWidth="1"/>
    <col min="6146" max="6159" width="7.625" style="106" customWidth="1"/>
    <col min="6160" max="6400" width="7.625" style="106"/>
    <col min="6401" max="6401" width="16" style="106" customWidth="1"/>
    <col min="6402" max="6415" width="7.625" style="106" customWidth="1"/>
    <col min="6416" max="6656" width="7.625" style="106"/>
    <col min="6657" max="6657" width="16" style="106" customWidth="1"/>
    <col min="6658" max="6671" width="7.625" style="106" customWidth="1"/>
    <col min="6672" max="6912" width="7.625" style="106"/>
    <col min="6913" max="6913" width="16" style="106" customWidth="1"/>
    <col min="6914" max="6927" width="7.625" style="106" customWidth="1"/>
    <col min="6928" max="7168" width="7.625" style="106"/>
    <col min="7169" max="7169" width="16" style="106" customWidth="1"/>
    <col min="7170" max="7183" width="7.625" style="106" customWidth="1"/>
    <col min="7184" max="7424" width="7.625" style="106"/>
    <col min="7425" max="7425" width="16" style="106" customWidth="1"/>
    <col min="7426" max="7439" width="7.625" style="106" customWidth="1"/>
    <col min="7440" max="7680" width="7.625" style="106"/>
    <col min="7681" max="7681" width="16" style="106" customWidth="1"/>
    <col min="7682" max="7695" width="7.625" style="106" customWidth="1"/>
    <col min="7696" max="7936" width="7.625" style="106"/>
    <col min="7937" max="7937" width="16" style="106" customWidth="1"/>
    <col min="7938" max="7951" width="7.625" style="106" customWidth="1"/>
    <col min="7952" max="8192" width="7.625" style="106"/>
    <col min="8193" max="8193" width="16" style="106" customWidth="1"/>
    <col min="8194" max="8207" width="7.625" style="106" customWidth="1"/>
    <col min="8208" max="8448" width="7.625" style="106"/>
    <col min="8449" max="8449" width="16" style="106" customWidth="1"/>
    <col min="8450" max="8463" width="7.625" style="106" customWidth="1"/>
    <col min="8464" max="8704" width="7.625" style="106"/>
    <col min="8705" max="8705" width="16" style="106" customWidth="1"/>
    <col min="8706" max="8719" width="7.625" style="106" customWidth="1"/>
    <col min="8720" max="8960" width="7.625" style="106"/>
    <col min="8961" max="8961" width="16" style="106" customWidth="1"/>
    <col min="8962" max="8975" width="7.625" style="106" customWidth="1"/>
    <col min="8976" max="9216" width="7.625" style="106"/>
    <col min="9217" max="9217" width="16" style="106" customWidth="1"/>
    <col min="9218" max="9231" width="7.625" style="106" customWidth="1"/>
    <col min="9232" max="9472" width="7.625" style="106"/>
    <col min="9473" max="9473" width="16" style="106" customWidth="1"/>
    <col min="9474" max="9487" width="7.625" style="106" customWidth="1"/>
    <col min="9488" max="9728" width="7.625" style="106"/>
    <col min="9729" max="9729" width="16" style="106" customWidth="1"/>
    <col min="9730" max="9743" width="7.625" style="106" customWidth="1"/>
    <col min="9744" max="9984" width="7.625" style="106"/>
    <col min="9985" max="9985" width="16" style="106" customWidth="1"/>
    <col min="9986" max="9999" width="7.625" style="106" customWidth="1"/>
    <col min="10000" max="10240" width="7.625" style="106"/>
    <col min="10241" max="10241" width="16" style="106" customWidth="1"/>
    <col min="10242" max="10255" width="7.625" style="106" customWidth="1"/>
    <col min="10256" max="10496" width="7.625" style="106"/>
    <col min="10497" max="10497" width="16" style="106" customWidth="1"/>
    <col min="10498" max="10511" width="7.625" style="106" customWidth="1"/>
    <col min="10512" max="10752" width="7.625" style="106"/>
    <col min="10753" max="10753" width="16" style="106" customWidth="1"/>
    <col min="10754" max="10767" width="7.625" style="106" customWidth="1"/>
    <col min="10768" max="11008" width="7.625" style="106"/>
    <col min="11009" max="11009" width="16" style="106" customWidth="1"/>
    <col min="11010" max="11023" width="7.625" style="106" customWidth="1"/>
    <col min="11024" max="11264" width="7.625" style="106"/>
    <col min="11265" max="11265" width="16" style="106" customWidth="1"/>
    <col min="11266" max="11279" width="7.625" style="106" customWidth="1"/>
    <col min="11280" max="11520" width="7.625" style="106"/>
    <col min="11521" max="11521" width="16" style="106" customWidth="1"/>
    <col min="11522" max="11535" width="7.625" style="106" customWidth="1"/>
    <col min="11536" max="11776" width="7.625" style="106"/>
    <col min="11777" max="11777" width="16" style="106" customWidth="1"/>
    <col min="11778" max="11791" width="7.625" style="106" customWidth="1"/>
    <col min="11792" max="12032" width="7.625" style="106"/>
    <col min="12033" max="12033" width="16" style="106" customWidth="1"/>
    <col min="12034" max="12047" width="7.625" style="106" customWidth="1"/>
    <col min="12048" max="12288" width="7.625" style="106"/>
    <col min="12289" max="12289" width="16" style="106" customWidth="1"/>
    <col min="12290" max="12303" width="7.625" style="106" customWidth="1"/>
    <col min="12304" max="12544" width="7.625" style="106"/>
    <col min="12545" max="12545" width="16" style="106" customWidth="1"/>
    <col min="12546" max="12559" width="7.625" style="106" customWidth="1"/>
    <col min="12560" max="12800" width="7.625" style="106"/>
    <col min="12801" max="12801" width="16" style="106" customWidth="1"/>
    <col min="12802" max="12815" width="7.625" style="106" customWidth="1"/>
    <col min="12816" max="13056" width="7.625" style="106"/>
    <col min="13057" max="13057" width="16" style="106" customWidth="1"/>
    <col min="13058" max="13071" width="7.625" style="106" customWidth="1"/>
    <col min="13072" max="13312" width="7.625" style="106"/>
    <col min="13313" max="13313" width="16" style="106" customWidth="1"/>
    <col min="13314" max="13327" width="7.625" style="106" customWidth="1"/>
    <col min="13328" max="13568" width="7.625" style="106"/>
    <col min="13569" max="13569" width="16" style="106" customWidth="1"/>
    <col min="13570" max="13583" width="7.625" style="106" customWidth="1"/>
    <col min="13584" max="13824" width="7.625" style="106"/>
    <col min="13825" max="13825" width="16" style="106" customWidth="1"/>
    <col min="13826" max="13839" width="7.625" style="106" customWidth="1"/>
    <col min="13840" max="14080" width="7.625" style="106"/>
    <col min="14081" max="14081" width="16" style="106" customWidth="1"/>
    <col min="14082" max="14095" width="7.625" style="106" customWidth="1"/>
    <col min="14096" max="14336" width="7.625" style="106"/>
    <col min="14337" max="14337" width="16" style="106" customWidth="1"/>
    <col min="14338" max="14351" width="7.625" style="106" customWidth="1"/>
    <col min="14352" max="14592" width="7.625" style="106"/>
    <col min="14593" max="14593" width="16" style="106" customWidth="1"/>
    <col min="14594" max="14607" width="7.625" style="106" customWidth="1"/>
    <col min="14608" max="14848" width="7.625" style="106"/>
    <col min="14849" max="14849" width="16" style="106" customWidth="1"/>
    <col min="14850" max="14863" width="7.625" style="106" customWidth="1"/>
    <col min="14864" max="15104" width="7.625" style="106"/>
    <col min="15105" max="15105" width="16" style="106" customWidth="1"/>
    <col min="15106" max="15119" width="7.625" style="106" customWidth="1"/>
    <col min="15120" max="15360" width="7.625" style="106"/>
    <col min="15361" max="15361" width="16" style="106" customWidth="1"/>
    <col min="15362" max="15375" width="7.625" style="106" customWidth="1"/>
    <col min="15376" max="15616" width="7.625" style="106"/>
    <col min="15617" max="15617" width="16" style="106" customWidth="1"/>
    <col min="15618" max="15631" width="7.625" style="106" customWidth="1"/>
    <col min="15632" max="15872" width="7.625" style="106"/>
    <col min="15873" max="15873" width="16" style="106" customWidth="1"/>
    <col min="15874" max="15887" width="7.625" style="106" customWidth="1"/>
    <col min="15888" max="16128" width="7.625" style="106"/>
    <col min="16129" max="16129" width="16" style="106" customWidth="1"/>
    <col min="16130" max="16143" width="7.625" style="106" customWidth="1"/>
    <col min="16144" max="16384" width="7.625" style="106"/>
  </cols>
  <sheetData>
    <row r="1" spans="1:26" s="92" customFormat="1">
      <c r="A1" s="90" t="s">
        <v>51</v>
      </c>
      <c r="B1" s="91"/>
      <c r="C1" s="91"/>
      <c r="D1" s="91"/>
      <c r="E1" s="91"/>
      <c r="F1" s="91"/>
      <c r="G1" s="91"/>
      <c r="H1" s="91"/>
      <c r="I1" s="91"/>
      <c r="J1" s="91"/>
      <c r="K1" s="91"/>
      <c r="L1" s="91"/>
    </row>
    <row r="2" spans="1:26" s="92" customFormat="1">
      <c r="A2" s="93" t="s">
        <v>52</v>
      </c>
      <c r="B2" s="94">
        <v>13</v>
      </c>
      <c r="C2" s="94">
        <v>20</v>
      </c>
      <c r="D2" s="94" t="s">
        <v>237</v>
      </c>
      <c r="E2" s="91"/>
      <c r="F2" s="91"/>
      <c r="G2" s="91"/>
      <c r="H2" s="91"/>
      <c r="I2" s="91"/>
      <c r="J2" s="91"/>
      <c r="K2" s="91"/>
      <c r="L2" s="95"/>
      <c r="M2" s="95"/>
      <c r="N2" s="95"/>
    </row>
    <row r="3" spans="1:26" s="92" customFormat="1">
      <c r="A3" s="96" t="s">
        <v>261</v>
      </c>
      <c r="B3" s="97">
        <v>14</v>
      </c>
      <c r="C3" s="97">
        <v>33</v>
      </c>
      <c r="D3" s="97">
        <v>0</v>
      </c>
      <c r="E3" s="91"/>
      <c r="F3" s="91"/>
      <c r="G3" s="91"/>
      <c r="H3" s="91"/>
      <c r="I3" s="91"/>
      <c r="J3" s="91"/>
      <c r="K3" s="91"/>
      <c r="L3" s="98"/>
      <c r="M3" s="98"/>
      <c r="N3" s="98"/>
    </row>
    <row r="4" spans="1:26" s="92" customFormat="1">
      <c r="A4" s="91"/>
      <c r="B4" s="91"/>
      <c r="C4" s="91"/>
      <c r="D4" s="91"/>
      <c r="E4" s="91"/>
      <c r="F4" s="91"/>
      <c r="G4" s="91"/>
      <c r="H4" s="91"/>
      <c r="I4" s="91"/>
      <c r="J4" s="91"/>
      <c r="K4" s="91"/>
      <c r="L4" s="91"/>
      <c r="M4" s="99"/>
      <c r="N4" s="99"/>
      <c r="O4" s="99"/>
    </row>
    <row r="5" spans="1:26" s="92" customFormat="1">
      <c r="A5" s="90" t="s">
        <v>53</v>
      </c>
      <c r="B5" s="91"/>
      <c r="C5" s="91"/>
      <c r="D5" s="91"/>
      <c r="E5" s="91"/>
      <c r="F5" s="91"/>
      <c r="G5" s="91"/>
      <c r="H5" s="91"/>
      <c r="I5" s="91"/>
      <c r="J5" s="91"/>
      <c r="K5" s="91"/>
      <c r="L5" s="91"/>
      <c r="M5" s="100"/>
      <c r="N5" s="100"/>
      <c r="O5" s="100"/>
    </row>
    <row r="6" spans="1:26" s="92" customFormat="1">
      <c r="A6" s="101" t="s">
        <v>54</v>
      </c>
      <c r="B6" s="94" t="s">
        <v>55</v>
      </c>
      <c r="C6" s="94">
        <v>1</v>
      </c>
      <c r="D6" s="94">
        <v>2</v>
      </c>
      <c r="E6" s="94">
        <v>3</v>
      </c>
      <c r="F6" s="94">
        <v>4</v>
      </c>
      <c r="G6" s="94">
        <v>5</v>
      </c>
      <c r="H6" s="94">
        <v>6</v>
      </c>
      <c r="I6" s="94">
        <v>7</v>
      </c>
      <c r="J6" s="94">
        <v>8</v>
      </c>
      <c r="K6" s="94">
        <v>9</v>
      </c>
      <c r="L6" s="94">
        <v>10</v>
      </c>
      <c r="M6" s="94">
        <v>11</v>
      </c>
      <c r="N6" s="94">
        <v>12</v>
      </c>
      <c r="O6" s="94">
        <v>13</v>
      </c>
      <c r="P6" s="94">
        <v>14</v>
      </c>
      <c r="Q6" s="94">
        <v>15</v>
      </c>
    </row>
    <row r="7" spans="1:26" s="92" customFormat="1">
      <c r="A7" s="102" t="s">
        <v>63</v>
      </c>
      <c r="B7" s="194" t="s">
        <v>55</v>
      </c>
      <c r="C7" s="194">
        <v>1</v>
      </c>
      <c r="D7" s="194">
        <v>1.4</v>
      </c>
      <c r="E7" s="194">
        <v>1.7</v>
      </c>
      <c r="F7" s="194">
        <v>2</v>
      </c>
      <c r="G7" s="194">
        <v>2.2000000000000002</v>
      </c>
      <c r="H7" s="194">
        <v>2.4</v>
      </c>
      <c r="I7" s="194">
        <v>2.6</v>
      </c>
      <c r="J7" s="194">
        <v>2.8</v>
      </c>
      <c r="K7" s="194">
        <v>2.9</v>
      </c>
      <c r="L7" s="194">
        <v>3</v>
      </c>
      <c r="M7" s="246">
        <f>L7+0.1</f>
        <v>3.1</v>
      </c>
      <c r="N7" s="246">
        <f>M7+0.1</f>
        <v>3.2</v>
      </c>
      <c r="O7" s="246">
        <f>N7+0.1</f>
        <v>3.3000000000000003</v>
      </c>
      <c r="P7" s="246">
        <f>O7+0.1</f>
        <v>3.4000000000000004</v>
      </c>
      <c r="Q7" s="246">
        <f>P7+0.1</f>
        <v>3.5000000000000004</v>
      </c>
    </row>
    <row r="8" spans="1:26" s="92" customFormat="1">
      <c r="A8" s="91"/>
      <c r="B8" s="91"/>
      <c r="C8" s="91"/>
      <c r="D8" s="91"/>
      <c r="E8" s="91"/>
      <c r="F8" s="91"/>
      <c r="G8" s="91"/>
      <c r="H8" s="91"/>
      <c r="I8" s="91"/>
      <c r="J8" s="91"/>
      <c r="K8" s="91"/>
      <c r="L8" s="91"/>
      <c r="M8" s="192"/>
      <c r="N8" s="192"/>
      <c r="O8" s="192"/>
      <c r="P8" s="193"/>
      <c r="Q8" s="193"/>
      <c r="R8" s="193"/>
      <c r="S8" s="193"/>
      <c r="T8" s="193"/>
      <c r="U8" s="193"/>
      <c r="V8" s="193"/>
      <c r="W8" s="193"/>
      <c r="X8" s="193"/>
      <c r="Y8" s="193"/>
      <c r="Z8" s="193"/>
    </row>
    <row r="9" spans="1:26" s="92" customFormat="1">
      <c r="A9" s="90" t="s">
        <v>56</v>
      </c>
      <c r="B9" s="91"/>
      <c r="C9" s="91"/>
      <c r="D9" s="91"/>
      <c r="E9" s="91"/>
      <c r="F9" s="91"/>
      <c r="G9" s="91"/>
      <c r="H9" s="91"/>
      <c r="I9" s="91"/>
      <c r="J9" s="91"/>
      <c r="K9" s="91"/>
      <c r="L9" s="91"/>
      <c r="M9" s="100"/>
      <c r="N9" s="100"/>
      <c r="O9" s="100"/>
    </row>
    <row r="10" spans="1:26" s="92" customFormat="1">
      <c r="A10" s="101" t="s">
        <v>270</v>
      </c>
      <c r="B10" s="94">
        <v>1500</v>
      </c>
      <c r="C10" s="94">
        <v>1000</v>
      </c>
      <c r="D10" s="94">
        <v>750</v>
      </c>
      <c r="E10" s="94">
        <v>605</v>
      </c>
      <c r="F10" s="94">
        <v>500</v>
      </c>
      <c r="G10" s="94">
        <v>455</v>
      </c>
      <c r="H10" s="94">
        <v>300</v>
      </c>
      <c r="I10" s="94">
        <v>250</v>
      </c>
      <c r="J10" s="94">
        <v>200</v>
      </c>
      <c r="K10" s="94">
        <v>150</v>
      </c>
      <c r="L10" s="94">
        <v>100</v>
      </c>
      <c r="M10" s="94">
        <v>80</v>
      </c>
      <c r="N10" s="94">
        <v>50</v>
      </c>
      <c r="O10" s="100"/>
    </row>
    <row r="11" spans="1:26" s="92" customFormat="1">
      <c r="A11" s="102" t="s">
        <v>262</v>
      </c>
      <c r="B11" s="97">
        <f t="shared" ref="B11:C11" si="0">B10*0.75</f>
        <v>1125</v>
      </c>
      <c r="C11" s="97">
        <f t="shared" si="0"/>
        <v>750</v>
      </c>
      <c r="D11" s="97">
        <f>ROUNDDOWN(D10*0.75,0)</f>
        <v>562</v>
      </c>
      <c r="E11" s="249">
        <v>400</v>
      </c>
      <c r="F11" s="97">
        <f t="shared" ref="F11" si="1">F10*0.75</f>
        <v>375</v>
      </c>
      <c r="G11" s="249">
        <v>320</v>
      </c>
      <c r="H11" s="97">
        <f t="shared" ref="H11:N11" si="2">H10*0.75</f>
        <v>225</v>
      </c>
      <c r="I11" s="97">
        <f t="shared" si="2"/>
        <v>187.5</v>
      </c>
      <c r="J11" s="97">
        <f t="shared" si="2"/>
        <v>150</v>
      </c>
      <c r="K11" s="97">
        <f t="shared" si="2"/>
        <v>112.5</v>
      </c>
      <c r="L11" s="97">
        <f t="shared" si="2"/>
        <v>75</v>
      </c>
      <c r="M11" s="97">
        <f t="shared" si="2"/>
        <v>60</v>
      </c>
      <c r="N11" s="97">
        <f t="shared" si="2"/>
        <v>37.5</v>
      </c>
      <c r="O11" s="250" t="s">
        <v>274</v>
      </c>
    </row>
    <row r="12" spans="1:26" s="105" customFormat="1">
      <c r="A12" s="334" t="s">
        <v>263</v>
      </c>
      <c r="B12" s="104">
        <f t="shared" ref="B12:N12" si="3">ROUNDDOWN(B18,0)*0.2</f>
        <v>74.600000000000009</v>
      </c>
      <c r="C12" s="104">
        <f t="shared" si="3"/>
        <v>49.800000000000004</v>
      </c>
      <c r="D12" s="104">
        <f t="shared" si="3"/>
        <v>37.200000000000003</v>
      </c>
      <c r="E12" s="104">
        <f t="shared" si="3"/>
        <v>26.400000000000002</v>
      </c>
      <c r="F12" s="104">
        <f t="shared" si="3"/>
        <v>24.8</v>
      </c>
      <c r="G12" s="104">
        <f t="shared" si="3"/>
        <v>21.200000000000003</v>
      </c>
      <c r="H12" s="104">
        <f t="shared" si="3"/>
        <v>14.8</v>
      </c>
      <c r="I12" s="104">
        <f t="shared" si="3"/>
        <v>12.4</v>
      </c>
      <c r="J12" s="104">
        <f t="shared" si="3"/>
        <v>9.8000000000000007</v>
      </c>
      <c r="K12" s="104">
        <f t="shared" si="3"/>
        <v>7.4</v>
      </c>
      <c r="L12" s="104">
        <f t="shared" si="3"/>
        <v>4.8000000000000007</v>
      </c>
      <c r="M12" s="104">
        <f t="shared" si="3"/>
        <v>3.8000000000000003</v>
      </c>
      <c r="N12" s="104">
        <f t="shared" si="3"/>
        <v>2.4000000000000004</v>
      </c>
      <c r="O12" s="245" t="s">
        <v>244</v>
      </c>
    </row>
    <row r="13" spans="1:26" s="105" customFormat="1">
      <c r="A13" s="334"/>
      <c r="B13" s="104">
        <v>74.7</v>
      </c>
      <c r="C13" s="104">
        <v>50</v>
      </c>
      <c r="D13" s="104">
        <v>37.299999999999997</v>
      </c>
      <c r="E13" s="104">
        <v>26.4</v>
      </c>
      <c r="F13" s="104">
        <v>25</v>
      </c>
      <c r="G13" s="104">
        <v>21.2</v>
      </c>
      <c r="H13" s="104">
        <v>15</v>
      </c>
      <c r="I13" s="104">
        <v>12.4</v>
      </c>
      <c r="J13" s="104">
        <v>10</v>
      </c>
      <c r="K13" s="104">
        <v>7.5</v>
      </c>
      <c r="L13" s="104">
        <v>5</v>
      </c>
      <c r="M13" s="104">
        <v>4</v>
      </c>
      <c r="N13" s="104">
        <v>2.5</v>
      </c>
      <c r="O13" s="245" t="s">
        <v>266</v>
      </c>
    </row>
    <row r="14" spans="1:26" s="105" customFormat="1">
      <c r="A14" s="334" t="s">
        <v>264</v>
      </c>
      <c r="B14" s="104">
        <f t="shared" ref="B14:N14" si="4">ROUNDDOWN(B18,0)*0.8</f>
        <v>298.40000000000003</v>
      </c>
      <c r="C14" s="104">
        <f t="shared" si="4"/>
        <v>199.20000000000002</v>
      </c>
      <c r="D14" s="104">
        <f t="shared" si="4"/>
        <v>148.80000000000001</v>
      </c>
      <c r="E14" s="104">
        <f t="shared" si="4"/>
        <v>105.60000000000001</v>
      </c>
      <c r="F14" s="104">
        <f t="shared" si="4"/>
        <v>99.2</v>
      </c>
      <c r="G14" s="104">
        <f t="shared" si="4"/>
        <v>84.800000000000011</v>
      </c>
      <c r="H14" s="104">
        <f t="shared" si="4"/>
        <v>59.2</v>
      </c>
      <c r="I14" s="104">
        <f t="shared" si="4"/>
        <v>49.6</v>
      </c>
      <c r="J14" s="104">
        <f t="shared" si="4"/>
        <v>39.200000000000003</v>
      </c>
      <c r="K14" s="104">
        <f t="shared" si="4"/>
        <v>29.6</v>
      </c>
      <c r="L14" s="104">
        <f t="shared" si="4"/>
        <v>19.200000000000003</v>
      </c>
      <c r="M14" s="104">
        <f t="shared" si="4"/>
        <v>15.200000000000001</v>
      </c>
      <c r="N14" s="104">
        <f t="shared" si="4"/>
        <v>9.6000000000000014</v>
      </c>
      <c r="O14" s="245" t="s">
        <v>244</v>
      </c>
    </row>
    <row r="15" spans="1:26" s="105" customFormat="1">
      <c r="A15" s="334"/>
      <c r="B15" s="104">
        <v>298.8</v>
      </c>
      <c r="C15" s="104">
        <v>200.8</v>
      </c>
      <c r="D15" s="104">
        <v>149.19999999999999</v>
      </c>
      <c r="E15" s="104">
        <v>105.6</v>
      </c>
      <c r="F15" s="104">
        <v>99.5</v>
      </c>
      <c r="G15" s="104">
        <v>84.8</v>
      </c>
      <c r="H15" s="104">
        <v>59.7</v>
      </c>
      <c r="I15" s="104">
        <v>49.6</v>
      </c>
      <c r="J15" s="104">
        <v>40.1</v>
      </c>
      <c r="K15" s="104">
        <v>30</v>
      </c>
      <c r="L15" s="104">
        <v>20</v>
      </c>
      <c r="M15" s="104">
        <v>16</v>
      </c>
      <c r="N15" s="104">
        <v>10</v>
      </c>
      <c r="O15" s="245" t="s">
        <v>266</v>
      </c>
    </row>
    <row r="16" spans="1:26">
      <c r="B16" s="121"/>
      <c r="C16" s="121"/>
      <c r="D16" s="121"/>
      <c r="E16" s="121"/>
      <c r="F16" s="121"/>
      <c r="G16" s="121"/>
      <c r="H16" s="121"/>
      <c r="I16" s="121"/>
      <c r="J16" s="121"/>
      <c r="K16" s="121"/>
      <c r="L16" s="121"/>
      <c r="M16" s="121"/>
    </row>
    <row r="17" spans="1:21">
      <c r="A17" s="335" t="s">
        <v>265</v>
      </c>
      <c r="B17" s="247">
        <f t="shared" ref="B17:N17" si="5">B11*0.332</f>
        <v>373.5</v>
      </c>
      <c r="C17" s="247">
        <f t="shared" si="5"/>
        <v>249</v>
      </c>
      <c r="D17" s="247">
        <f t="shared" si="5"/>
        <v>186.584</v>
      </c>
      <c r="E17" s="247">
        <f t="shared" si="5"/>
        <v>132.80000000000001</v>
      </c>
      <c r="F17" s="247">
        <f t="shared" si="5"/>
        <v>124.5</v>
      </c>
      <c r="G17" s="247">
        <f t="shared" si="5"/>
        <v>106.24000000000001</v>
      </c>
      <c r="H17" s="247">
        <f t="shared" si="5"/>
        <v>74.7</v>
      </c>
      <c r="I17" s="247">
        <f t="shared" si="5"/>
        <v>62.25</v>
      </c>
      <c r="J17" s="247">
        <f t="shared" si="5"/>
        <v>49.800000000000004</v>
      </c>
      <c r="K17" s="247">
        <f t="shared" si="5"/>
        <v>37.35</v>
      </c>
      <c r="L17" s="247">
        <f t="shared" si="5"/>
        <v>24.900000000000002</v>
      </c>
      <c r="M17" s="247">
        <f t="shared" si="5"/>
        <v>19.920000000000002</v>
      </c>
      <c r="N17" s="247">
        <f t="shared" si="5"/>
        <v>12.450000000000001</v>
      </c>
      <c r="O17" s="245" t="s">
        <v>244</v>
      </c>
    </row>
    <row r="18" spans="1:21">
      <c r="A18" s="334"/>
      <c r="B18" s="247">
        <v>373.5</v>
      </c>
      <c r="C18" s="247">
        <v>249</v>
      </c>
      <c r="D18" s="247">
        <v>186.5</v>
      </c>
      <c r="E18" s="247">
        <v>132.80000000000001</v>
      </c>
      <c r="F18" s="247">
        <v>124.5</v>
      </c>
      <c r="G18" s="247">
        <v>106.2</v>
      </c>
      <c r="H18" s="247">
        <v>74.7</v>
      </c>
      <c r="I18" s="247">
        <v>62.2</v>
      </c>
      <c r="J18" s="247">
        <v>49.8</v>
      </c>
      <c r="K18" s="247">
        <v>37.299999999999997</v>
      </c>
      <c r="L18" s="247">
        <v>24.9</v>
      </c>
      <c r="M18" s="247">
        <v>19.899999999999999</v>
      </c>
      <c r="N18" s="247">
        <v>12.4</v>
      </c>
      <c r="O18" s="245" t="s">
        <v>266</v>
      </c>
    </row>
    <row r="19" spans="1:21">
      <c r="F19" s="245" t="s">
        <v>267</v>
      </c>
      <c r="M19" s="122"/>
      <c r="R19" s="128"/>
      <c r="S19" s="244" t="s">
        <v>245</v>
      </c>
      <c r="T19" s="244" t="s">
        <v>246</v>
      </c>
      <c r="U19" s="244" t="s">
        <v>247</v>
      </c>
    </row>
    <row r="20" spans="1:21">
      <c r="R20" s="333" t="s">
        <v>248</v>
      </c>
      <c r="S20" s="128" t="s">
        <v>249</v>
      </c>
      <c r="T20" s="128" t="s">
        <v>268</v>
      </c>
      <c r="U20" s="128" t="s">
        <v>251</v>
      </c>
    </row>
    <row r="21" spans="1:21">
      <c r="R21" s="333"/>
      <c r="S21" s="128" t="s">
        <v>252</v>
      </c>
      <c r="T21" s="128" t="s">
        <v>253</v>
      </c>
      <c r="U21" s="128" t="s">
        <v>254</v>
      </c>
    </row>
    <row r="22" spans="1:21">
      <c r="R22" s="333" t="s">
        <v>255</v>
      </c>
      <c r="S22" s="128" t="s">
        <v>249</v>
      </c>
      <c r="T22" s="128" t="s">
        <v>250</v>
      </c>
      <c r="U22" s="128" t="s">
        <v>256</v>
      </c>
    </row>
    <row r="23" spans="1:21">
      <c r="R23" s="333"/>
      <c r="S23" s="128" t="s">
        <v>257</v>
      </c>
      <c r="T23" s="128" t="s">
        <v>258</v>
      </c>
      <c r="U23" s="128"/>
    </row>
    <row r="24" spans="1:21">
      <c r="R24" s="333"/>
      <c r="S24" s="128" t="s">
        <v>259</v>
      </c>
      <c r="T24" s="128" t="s">
        <v>260</v>
      </c>
      <c r="U24" s="128"/>
    </row>
    <row r="26" spans="1:21">
      <c r="R26" s="248" t="s">
        <v>269</v>
      </c>
    </row>
    <row r="44" spans="1:3">
      <c r="A44" s="228" t="s">
        <v>36</v>
      </c>
      <c r="B44" s="228" t="s">
        <v>222</v>
      </c>
      <c r="C44" s="228" t="s">
        <v>223</v>
      </c>
    </row>
    <row r="45" spans="1:3">
      <c r="A45" s="229">
        <v>0</v>
      </c>
      <c r="B45" s="229">
        <v>0</v>
      </c>
      <c r="C45" s="229">
        <v>0</v>
      </c>
    </row>
    <row r="46" spans="1:3">
      <c r="A46" s="229">
        <v>1</v>
      </c>
      <c r="B46" s="229">
        <v>1</v>
      </c>
      <c r="C46" s="229">
        <v>2</v>
      </c>
    </row>
    <row r="47" spans="1:3">
      <c r="A47" s="229">
        <v>2</v>
      </c>
      <c r="B47" s="229">
        <v>1</v>
      </c>
      <c r="C47" s="229">
        <v>2</v>
      </c>
    </row>
    <row r="48" spans="1:3">
      <c r="A48" s="230">
        <v>3</v>
      </c>
      <c r="B48" s="229">
        <v>0.85</v>
      </c>
      <c r="C48" s="229">
        <v>2</v>
      </c>
    </row>
    <row r="49" spans="1:3">
      <c r="A49" s="229">
        <v>4</v>
      </c>
      <c r="B49" s="229">
        <v>0.7</v>
      </c>
      <c r="C49" s="229">
        <v>2.5</v>
      </c>
    </row>
    <row r="50" spans="1:3">
      <c r="A50" s="229">
        <v>5</v>
      </c>
      <c r="B50" s="229">
        <v>0.65</v>
      </c>
      <c r="C50" s="229">
        <v>2.5</v>
      </c>
    </row>
    <row r="51" spans="1:3">
      <c r="A51" s="229">
        <v>6</v>
      </c>
      <c r="B51" s="229">
        <v>0.6</v>
      </c>
      <c r="C51" s="229">
        <v>2.5</v>
      </c>
    </row>
    <row r="52" spans="1:3">
      <c r="A52" s="229">
        <v>7</v>
      </c>
      <c r="B52" s="229">
        <v>0.6</v>
      </c>
      <c r="C52" s="229">
        <v>3.5</v>
      </c>
    </row>
    <row r="53" spans="1:3">
      <c r="A53" s="229">
        <v>8</v>
      </c>
      <c r="B53" s="229">
        <v>0.55000000000000004</v>
      </c>
      <c r="C53" s="229">
        <v>3.5</v>
      </c>
    </row>
    <row r="54" spans="1:3">
      <c r="A54" s="229">
        <v>10</v>
      </c>
      <c r="B54" s="229">
        <v>0.5</v>
      </c>
      <c r="C54" s="229">
        <v>3.5</v>
      </c>
    </row>
    <row r="55" spans="1:3">
      <c r="A55" s="229">
        <v>12</v>
      </c>
      <c r="B55" s="229">
        <v>0.48</v>
      </c>
      <c r="C55" s="229">
        <v>3.5</v>
      </c>
    </row>
    <row r="56" spans="1:3">
      <c r="A56" s="229">
        <v>16</v>
      </c>
      <c r="B56" s="229">
        <v>0.45</v>
      </c>
      <c r="C56" s="229">
        <v>3.5</v>
      </c>
    </row>
  </sheetData>
  <mergeCells count="5">
    <mergeCell ref="R20:R21"/>
    <mergeCell ref="R22:R24"/>
    <mergeCell ref="A12:A13"/>
    <mergeCell ref="A14:A15"/>
    <mergeCell ref="A17:A18"/>
  </mergeCells>
  <phoneticPr fontId="1"/>
  <pageMargins left="0.5" right="0.5" top="0.5" bottom="0.5" header="0.51200000000000001" footer="0.51200000000000001"/>
  <pageSetup paperSize="9" scale="97"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73"/>
  <sheetViews>
    <sheetView zoomScale="84" zoomScaleNormal="84" workbookViewId="0">
      <selection activeCell="G1" sqref="G1"/>
    </sheetView>
  </sheetViews>
  <sheetFormatPr defaultRowHeight="20.100000000000001" customHeight="1"/>
  <cols>
    <col min="1" max="1" width="19.75" style="12" bestFit="1" customWidth="1"/>
    <col min="2" max="3" width="25.75" style="12" customWidth="1"/>
    <col min="4" max="4" width="25.75" style="46" customWidth="1"/>
    <col min="5" max="5" width="18.375" style="5" bestFit="1" customWidth="1"/>
    <col min="6" max="6" width="18.375" style="5" customWidth="1"/>
    <col min="7" max="7" width="59.875" style="5" bestFit="1" customWidth="1"/>
    <col min="8" max="8" width="15.25" style="5" customWidth="1"/>
    <col min="9" max="9" width="33" style="5" bestFit="1" customWidth="1"/>
    <col min="10" max="10" width="9" style="5"/>
    <col min="11" max="11" width="9" style="43"/>
    <col min="12" max="14" width="9" style="5"/>
    <col min="15" max="15" width="16.625" style="5" bestFit="1" customWidth="1"/>
    <col min="16" max="17" width="9" style="5"/>
    <col min="18" max="18" width="16.625" style="5" bestFit="1" customWidth="1"/>
    <col min="19" max="19" width="14.625" style="43" bestFit="1" customWidth="1"/>
    <col min="20" max="20" width="13.75" style="43" bestFit="1" customWidth="1"/>
    <col min="21" max="21" width="11" style="5" bestFit="1" customWidth="1"/>
    <col min="22" max="22" width="25.25" style="5" customWidth="1"/>
    <col min="23" max="16384" width="9" style="5"/>
  </cols>
  <sheetData>
    <row r="1" spans="1:22" ht="49.5" customHeight="1">
      <c r="C1" s="345" t="s">
        <v>299</v>
      </c>
      <c r="D1" s="345"/>
      <c r="E1" s="345"/>
      <c r="I1" s="339" t="s">
        <v>226</v>
      </c>
      <c r="J1" s="339"/>
      <c r="K1" s="339"/>
      <c r="L1" s="339"/>
      <c r="M1" s="339"/>
      <c r="N1" s="339"/>
      <c r="O1" s="339"/>
      <c r="P1" s="339"/>
      <c r="Q1" s="339"/>
      <c r="R1" s="339"/>
      <c r="S1" s="339"/>
      <c r="T1" s="339"/>
      <c r="U1" s="339"/>
      <c r="V1" s="339"/>
    </row>
    <row r="2" spans="1:22" ht="30" customHeight="1">
      <c r="A2" s="346" t="s">
        <v>4</v>
      </c>
      <c r="B2" s="346" t="s">
        <v>101</v>
      </c>
      <c r="C2" s="346" t="s">
        <v>100</v>
      </c>
      <c r="D2" s="346" t="s">
        <v>19</v>
      </c>
      <c r="E2" s="348" t="s">
        <v>6</v>
      </c>
      <c r="F2" s="348" t="s">
        <v>7</v>
      </c>
      <c r="G2" s="348" t="s">
        <v>5</v>
      </c>
      <c r="H2" s="47"/>
      <c r="I2" s="83" t="s">
        <v>24</v>
      </c>
      <c r="J2" s="83"/>
      <c r="K2" s="336" t="s">
        <v>23</v>
      </c>
      <c r="L2" s="337"/>
      <c r="M2" s="336" t="s">
        <v>102</v>
      </c>
      <c r="N2" s="337"/>
      <c r="O2" s="340" t="s">
        <v>109</v>
      </c>
      <c r="P2" s="336" t="s">
        <v>103</v>
      </c>
      <c r="Q2" s="337"/>
      <c r="R2" s="340" t="s">
        <v>108</v>
      </c>
      <c r="S2" s="342" t="s">
        <v>111</v>
      </c>
      <c r="T2" s="344" t="s">
        <v>112</v>
      </c>
      <c r="U2" s="338" t="s">
        <v>35</v>
      </c>
      <c r="V2" s="333" t="s">
        <v>33</v>
      </c>
    </row>
    <row r="3" spans="1:22" ht="30" customHeight="1">
      <c r="A3" s="347"/>
      <c r="B3" s="347"/>
      <c r="C3" s="347"/>
      <c r="D3" s="347"/>
      <c r="E3" s="349"/>
      <c r="F3" s="349"/>
      <c r="G3" s="349"/>
      <c r="H3" s="49"/>
      <c r="I3" s="57" t="str">
        <f>CONCATENATE('駐車、洗車、雨水流入'!N17,'駐車、洗車、雨水流入'!R17,'駐車、洗車、雨水流入'!Z17)</f>
        <v/>
      </c>
      <c r="J3" s="56" t="s">
        <v>25</v>
      </c>
      <c r="K3" s="54">
        <f>'駐車、洗車、雨水流入'!AN44</f>
        <v>0</v>
      </c>
      <c r="L3" s="82" t="s">
        <v>26</v>
      </c>
      <c r="M3" s="54">
        <f>'駐車、洗車、雨水流入'!Y35</f>
        <v>0</v>
      </c>
      <c r="N3" s="55" t="s">
        <v>26</v>
      </c>
      <c r="O3" s="341"/>
      <c r="P3" s="54">
        <f>'駐車、洗車、雨水流入'!Y40</f>
        <v>0</v>
      </c>
      <c r="Q3" s="55" t="s">
        <v>26</v>
      </c>
      <c r="R3" s="341"/>
      <c r="S3" s="343"/>
      <c r="T3" s="343"/>
      <c r="U3" s="333"/>
      <c r="V3" s="333"/>
    </row>
    <row r="4" spans="1:22" ht="20.100000000000001" customHeight="1">
      <c r="A4" s="11">
        <v>1125</v>
      </c>
      <c r="B4" s="234">
        <v>74.7</v>
      </c>
      <c r="C4" s="234">
        <v>298.8</v>
      </c>
      <c r="D4" s="45" t="s">
        <v>27</v>
      </c>
      <c r="E4" s="7" t="s">
        <v>21</v>
      </c>
      <c r="F4" s="7" t="s">
        <v>8</v>
      </c>
      <c r="G4" s="232" t="s">
        <v>285</v>
      </c>
      <c r="H4" s="48"/>
      <c r="I4" s="50" t="str">
        <f>CONCATENATE(D4,E4,F4)</f>
        <v>ＦＲＰ製地中埋設型パイプ流入</v>
      </c>
      <c r="J4" s="51">
        <f t="shared" ref="J4:J36" si="0">IF($I$3=I4,1,0)</f>
        <v>0</v>
      </c>
      <c r="K4" s="51" t="str">
        <f>IF($J4=1, A4,"-")</f>
        <v>-</v>
      </c>
      <c r="L4" s="52" t="str">
        <f t="shared" ref="L4:L18" si="1">IF(K4&gt;=$K$3,K4,"-")</f>
        <v>-</v>
      </c>
      <c r="M4" s="53" t="str">
        <f>IF($J4=1,B4, "-")</f>
        <v>-</v>
      </c>
      <c r="N4" s="123" t="str">
        <f t="shared" ref="N4:N37" si="2">IF(M4&gt;=M$3,M4,"-")</f>
        <v>-</v>
      </c>
      <c r="O4" s="124" t="str">
        <f>IF(N4="-","-",$A4)</f>
        <v>-</v>
      </c>
      <c r="P4" s="53" t="str">
        <f>IF($J4=1,C4, "-")</f>
        <v>-</v>
      </c>
      <c r="Q4" s="123" t="str">
        <f t="shared" ref="Q4:Q37" si="3">IF(P4&gt;=P$3,P4,"-")</f>
        <v>-</v>
      </c>
      <c r="R4" s="124" t="str">
        <f>IF(Q4="-","-",$A4)</f>
        <v>-</v>
      </c>
      <c r="S4" s="126">
        <f t="shared" ref="S4:S37" si="4">IF($S$70=K4,1,0)</f>
        <v>1</v>
      </c>
      <c r="T4" s="126">
        <f t="shared" ref="T4:T37" si="5">IF($S$68=0,0,S4)</f>
        <v>0</v>
      </c>
      <c r="U4" s="136" t="str">
        <f>IF(S69="clear",MATCH(1,T4:T66,0),"規格外")</f>
        <v>規格外</v>
      </c>
      <c r="V4" s="128" t="str">
        <f>IF(J67=0,"当社規格外。設置形態等を見直して下さい。",IF(U4="規格外","性能オーバーにつき、当社規格外",INDEX($G$4:$G$66,U4,1)))</f>
        <v>当社規格外。設置形態等を見直して下さい。</v>
      </c>
    </row>
    <row r="5" spans="1:22" ht="20.100000000000001" customHeight="1">
      <c r="A5" s="11">
        <v>750</v>
      </c>
      <c r="B5" s="234">
        <v>50</v>
      </c>
      <c r="C5" s="234">
        <v>200.8</v>
      </c>
      <c r="D5" s="45" t="s">
        <v>27</v>
      </c>
      <c r="E5" s="7" t="s">
        <v>21</v>
      </c>
      <c r="F5" s="7" t="s">
        <v>8</v>
      </c>
      <c r="G5" s="232" t="s">
        <v>286</v>
      </c>
      <c r="H5" s="48"/>
      <c r="I5" s="50" t="str">
        <f>CONCATENATE(D5,E5,F5)</f>
        <v>ＦＲＰ製地中埋設型パイプ流入</v>
      </c>
      <c r="J5" s="51">
        <f t="shared" si="0"/>
        <v>0</v>
      </c>
      <c r="K5" s="51" t="str">
        <f t="shared" ref="K5:K37" si="6">IF(J5=1, A5,"-")</f>
        <v>-</v>
      </c>
      <c r="L5" s="52" t="str">
        <f>IF(K5&gt;=$K$3,K5,"-")</f>
        <v>-</v>
      </c>
      <c r="M5" s="53" t="str">
        <f t="shared" ref="M5:M37" si="7">IF($J5=1,B5, "-")</f>
        <v>-</v>
      </c>
      <c r="N5" s="123" t="str">
        <f t="shared" si="2"/>
        <v>-</v>
      </c>
      <c r="O5" s="124" t="str">
        <f t="shared" ref="O5:O37" si="8">IF(N5="-","-",$A5)</f>
        <v>-</v>
      </c>
      <c r="P5" s="53" t="str">
        <f t="shared" ref="P5:P37" si="9">IF($J5=1,C5, "-")</f>
        <v>-</v>
      </c>
      <c r="Q5" s="123" t="str">
        <f t="shared" si="3"/>
        <v>-</v>
      </c>
      <c r="R5" s="124" t="str">
        <f t="shared" ref="R5:R37" si="10">IF(Q5="-","-",$A5)</f>
        <v>-</v>
      </c>
      <c r="S5" s="127">
        <f t="shared" si="4"/>
        <v>1</v>
      </c>
      <c r="T5" s="127">
        <f t="shared" si="5"/>
        <v>0</v>
      </c>
    </row>
    <row r="6" spans="1:22" ht="20.100000000000001" customHeight="1">
      <c r="A6" s="11">
        <v>562.5</v>
      </c>
      <c r="B6" s="234">
        <v>37.299999999999997</v>
      </c>
      <c r="C6" s="234">
        <v>149.19999999999999</v>
      </c>
      <c r="D6" s="45" t="s">
        <v>27</v>
      </c>
      <c r="E6" s="7" t="s">
        <v>21</v>
      </c>
      <c r="F6" s="7" t="s">
        <v>8</v>
      </c>
      <c r="G6" s="232" t="s">
        <v>287</v>
      </c>
      <c r="H6" s="48"/>
      <c r="I6" s="50" t="str">
        <f>CONCATENATE(D6,E6,F6)</f>
        <v>ＦＲＰ製地中埋設型パイプ流入</v>
      </c>
      <c r="J6" s="51">
        <f t="shared" si="0"/>
        <v>0</v>
      </c>
      <c r="K6" s="51" t="str">
        <f t="shared" si="6"/>
        <v>-</v>
      </c>
      <c r="L6" s="52" t="str">
        <f>IF(K6&gt;=$K$3,K6,"-")</f>
        <v>-</v>
      </c>
      <c r="M6" s="53" t="str">
        <f t="shared" si="7"/>
        <v>-</v>
      </c>
      <c r="N6" s="123" t="str">
        <f t="shared" si="2"/>
        <v>-</v>
      </c>
      <c r="O6" s="124" t="str">
        <f t="shared" si="8"/>
        <v>-</v>
      </c>
      <c r="P6" s="53" t="str">
        <f t="shared" si="9"/>
        <v>-</v>
      </c>
      <c r="Q6" s="123" t="str">
        <f t="shared" si="3"/>
        <v>-</v>
      </c>
      <c r="R6" s="124" t="str">
        <f t="shared" si="10"/>
        <v>-</v>
      </c>
      <c r="S6" s="127">
        <f t="shared" si="4"/>
        <v>1</v>
      </c>
      <c r="T6" s="127">
        <f t="shared" si="5"/>
        <v>0</v>
      </c>
    </row>
    <row r="7" spans="1:22" ht="20.100000000000001" customHeight="1">
      <c r="A7" s="11">
        <v>400</v>
      </c>
      <c r="B7" s="234">
        <v>26.7</v>
      </c>
      <c r="C7" s="234">
        <v>106.1</v>
      </c>
      <c r="D7" s="45" t="s">
        <v>27</v>
      </c>
      <c r="E7" s="7" t="s">
        <v>21</v>
      </c>
      <c r="F7" s="7" t="s">
        <v>8</v>
      </c>
      <c r="G7" s="232" t="s">
        <v>278</v>
      </c>
      <c r="H7" s="48"/>
      <c r="I7" s="50" t="str">
        <f t="shared" ref="I7:I18" si="11">CONCATENATE(D7,E7,F7)</f>
        <v>ＦＲＰ製地中埋設型パイプ流入</v>
      </c>
      <c r="J7" s="51">
        <f t="shared" si="0"/>
        <v>0</v>
      </c>
      <c r="K7" s="51" t="str">
        <f t="shared" si="6"/>
        <v>-</v>
      </c>
      <c r="L7" s="52" t="str">
        <f>IF(K7&gt;=$K$3,K7,"-")</f>
        <v>-</v>
      </c>
      <c r="M7" s="53" t="str">
        <f t="shared" si="7"/>
        <v>-</v>
      </c>
      <c r="N7" s="123" t="str">
        <f t="shared" si="2"/>
        <v>-</v>
      </c>
      <c r="O7" s="124" t="str">
        <f t="shared" si="8"/>
        <v>-</v>
      </c>
      <c r="P7" s="53" t="str">
        <f t="shared" si="9"/>
        <v>-</v>
      </c>
      <c r="Q7" s="123" t="str">
        <f t="shared" si="3"/>
        <v>-</v>
      </c>
      <c r="R7" s="124" t="str">
        <f t="shared" si="10"/>
        <v>-</v>
      </c>
      <c r="S7" s="127">
        <f t="shared" si="4"/>
        <v>1</v>
      </c>
      <c r="T7" s="127">
        <f t="shared" si="5"/>
        <v>0</v>
      </c>
    </row>
    <row r="8" spans="1:22" ht="20.100000000000001" customHeight="1">
      <c r="A8" s="251">
        <v>320</v>
      </c>
      <c r="B8" s="234">
        <v>21.3</v>
      </c>
      <c r="C8" s="234">
        <v>85</v>
      </c>
      <c r="D8" s="45" t="s">
        <v>27</v>
      </c>
      <c r="E8" s="7" t="s">
        <v>21</v>
      </c>
      <c r="F8" s="7" t="s">
        <v>8</v>
      </c>
      <c r="G8" s="232" t="s">
        <v>277</v>
      </c>
      <c r="H8" s="48"/>
      <c r="I8" s="50" t="str">
        <f t="shared" si="11"/>
        <v>ＦＲＰ製地中埋設型パイプ流入</v>
      </c>
      <c r="J8" s="51">
        <f t="shared" ref="J8" si="12">IF($I$3=I8,1,0)</f>
        <v>0</v>
      </c>
      <c r="K8" s="51" t="str">
        <f>IF(J8=1, A8,"-")</f>
        <v>-</v>
      </c>
      <c r="L8" s="52" t="str">
        <f>IF(K8&gt;=$K$3,K8,"-")</f>
        <v>-</v>
      </c>
      <c r="M8" s="53" t="str">
        <f t="shared" ref="M8" si="13">IF($J8=1,B8, "-")</f>
        <v>-</v>
      </c>
      <c r="N8" s="123" t="str">
        <f t="shared" ref="N8" si="14">IF(M8&gt;=M$3,M8,"-")</f>
        <v>-</v>
      </c>
      <c r="O8" s="124" t="str">
        <f t="shared" ref="O8" si="15">IF(N8="-","-",$A8)</f>
        <v>-</v>
      </c>
      <c r="P8" s="53" t="str">
        <f t="shared" ref="P8" si="16">IF($J8=1,C8, "-")</f>
        <v>-</v>
      </c>
      <c r="Q8" s="123" t="str">
        <f t="shared" ref="Q8" si="17">IF(P8&gt;=P$3,P8,"-")</f>
        <v>-</v>
      </c>
      <c r="R8" s="124" t="str">
        <f t="shared" ref="R8" si="18">IF(Q8="-","-",$A8)</f>
        <v>-</v>
      </c>
      <c r="S8" s="127">
        <f t="shared" ref="S8" si="19">IF($S$70=K8,1,0)</f>
        <v>1</v>
      </c>
      <c r="T8" s="127">
        <f t="shared" ref="T8" si="20">IF($S$68=0,0,S8)</f>
        <v>0</v>
      </c>
    </row>
    <row r="9" spans="1:22" ht="20.100000000000001" customHeight="1">
      <c r="A9" s="11">
        <v>225</v>
      </c>
      <c r="B9" s="234">
        <v>15</v>
      </c>
      <c r="C9" s="234">
        <v>59.7</v>
      </c>
      <c r="D9" s="45" t="s">
        <v>27</v>
      </c>
      <c r="E9" s="7" t="s">
        <v>21</v>
      </c>
      <c r="F9" s="7" t="s">
        <v>8</v>
      </c>
      <c r="G9" s="232" t="s">
        <v>288</v>
      </c>
      <c r="H9" s="48"/>
      <c r="I9" s="50" t="str">
        <f t="shared" si="11"/>
        <v>ＦＲＰ製地中埋設型パイプ流入</v>
      </c>
      <c r="J9" s="51">
        <f t="shared" si="0"/>
        <v>0</v>
      </c>
      <c r="K9" s="51" t="str">
        <f t="shared" si="6"/>
        <v>-</v>
      </c>
      <c r="L9" s="52" t="str">
        <f>IF(K9&gt;=$K$3,K9,"-")</f>
        <v>-</v>
      </c>
      <c r="M9" s="53" t="str">
        <f t="shared" si="7"/>
        <v>-</v>
      </c>
      <c r="N9" s="123" t="str">
        <f t="shared" si="2"/>
        <v>-</v>
      </c>
      <c r="O9" s="124" t="str">
        <f t="shared" si="8"/>
        <v>-</v>
      </c>
      <c r="P9" s="53" t="str">
        <f t="shared" si="9"/>
        <v>-</v>
      </c>
      <c r="Q9" s="123" t="str">
        <f t="shared" si="3"/>
        <v>-</v>
      </c>
      <c r="R9" s="124" t="str">
        <f t="shared" si="10"/>
        <v>-</v>
      </c>
      <c r="S9" s="127">
        <f t="shared" si="4"/>
        <v>1</v>
      </c>
      <c r="T9" s="127">
        <f t="shared" si="5"/>
        <v>0</v>
      </c>
    </row>
    <row r="10" spans="1:22" ht="20.100000000000001" customHeight="1">
      <c r="A10" s="11">
        <v>187.5</v>
      </c>
      <c r="B10" s="234">
        <v>12.4</v>
      </c>
      <c r="C10" s="234">
        <v>49.6</v>
      </c>
      <c r="D10" s="45" t="s">
        <v>27</v>
      </c>
      <c r="E10" s="7" t="s">
        <v>21</v>
      </c>
      <c r="F10" s="7" t="s">
        <v>8</v>
      </c>
      <c r="G10" s="232" t="s">
        <v>289</v>
      </c>
      <c r="H10" s="48"/>
      <c r="I10" s="50" t="str">
        <f t="shared" si="11"/>
        <v>ＦＲＰ製地中埋設型パイプ流入</v>
      </c>
      <c r="J10" s="51">
        <f t="shared" si="0"/>
        <v>0</v>
      </c>
      <c r="K10" s="51" t="str">
        <f t="shared" si="6"/>
        <v>-</v>
      </c>
      <c r="L10" s="52" t="str">
        <f t="shared" si="1"/>
        <v>-</v>
      </c>
      <c r="M10" s="53" t="str">
        <f t="shared" si="7"/>
        <v>-</v>
      </c>
      <c r="N10" s="123" t="str">
        <f t="shared" si="2"/>
        <v>-</v>
      </c>
      <c r="O10" s="124" t="str">
        <f t="shared" si="8"/>
        <v>-</v>
      </c>
      <c r="P10" s="53" t="str">
        <f t="shared" si="9"/>
        <v>-</v>
      </c>
      <c r="Q10" s="123" t="str">
        <f t="shared" si="3"/>
        <v>-</v>
      </c>
      <c r="R10" s="124" t="str">
        <f t="shared" si="10"/>
        <v>-</v>
      </c>
      <c r="S10" s="127">
        <f t="shared" si="4"/>
        <v>1</v>
      </c>
      <c r="T10" s="127">
        <f t="shared" si="5"/>
        <v>0</v>
      </c>
    </row>
    <row r="11" spans="1:22" ht="20.100000000000001" customHeight="1">
      <c r="A11" s="11">
        <v>150</v>
      </c>
      <c r="B11" s="234">
        <v>10</v>
      </c>
      <c r="C11" s="234">
        <v>40.1</v>
      </c>
      <c r="D11" s="45" t="s">
        <v>27</v>
      </c>
      <c r="E11" s="7" t="s">
        <v>21</v>
      </c>
      <c r="F11" s="7" t="s">
        <v>8</v>
      </c>
      <c r="G11" s="232" t="s">
        <v>290</v>
      </c>
      <c r="H11" s="48"/>
      <c r="I11" s="50" t="str">
        <f t="shared" si="11"/>
        <v>ＦＲＰ製地中埋設型パイプ流入</v>
      </c>
      <c r="J11" s="51">
        <f t="shared" si="0"/>
        <v>0</v>
      </c>
      <c r="K11" s="51" t="str">
        <f t="shared" si="6"/>
        <v>-</v>
      </c>
      <c r="L11" s="52" t="str">
        <f t="shared" si="1"/>
        <v>-</v>
      </c>
      <c r="M11" s="53" t="str">
        <f t="shared" si="7"/>
        <v>-</v>
      </c>
      <c r="N11" s="123" t="str">
        <f t="shared" si="2"/>
        <v>-</v>
      </c>
      <c r="O11" s="124" t="str">
        <f t="shared" si="8"/>
        <v>-</v>
      </c>
      <c r="P11" s="53" t="str">
        <f t="shared" si="9"/>
        <v>-</v>
      </c>
      <c r="Q11" s="123" t="str">
        <f t="shared" si="3"/>
        <v>-</v>
      </c>
      <c r="R11" s="124" t="str">
        <f t="shared" si="10"/>
        <v>-</v>
      </c>
      <c r="S11" s="127">
        <f t="shared" si="4"/>
        <v>1</v>
      </c>
      <c r="T11" s="127">
        <f t="shared" si="5"/>
        <v>0</v>
      </c>
    </row>
    <row r="12" spans="1:22" ht="20.100000000000001" customHeight="1">
      <c r="A12" s="11">
        <v>150</v>
      </c>
      <c r="B12" s="234">
        <v>10</v>
      </c>
      <c r="C12" s="234">
        <v>40.1</v>
      </c>
      <c r="D12" s="45" t="s">
        <v>27</v>
      </c>
      <c r="E12" s="7" t="s">
        <v>47</v>
      </c>
      <c r="F12" s="7" t="s">
        <v>8</v>
      </c>
      <c r="G12" s="232" t="s">
        <v>291</v>
      </c>
      <c r="H12" s="48"/>
      <c r="I12" s="50" t="str">
        <f>CONCATENATE(D12,E12,F12)</f>
        <v>ＦＲＰ製地中埋設スリム型パイプ流入</v>
      </c>
      <c r="J12" s="51">
        <f t="shared" si="0"/>
        <v>0</v>
      </c>
      <c r="K12" s="51" t="str">
        <f t="shared" si="6"/>
        <v>-</v>
      </c>
      <c r="L12" s="52" t="str">
        <f>IF(K12&gt;=$K$3,K12,"-")</f>
        <v>-</v>
      </c>
      <c r="M12" s="53" t="str">
        <f t="shared" si="7"/>
        <v>-</v>
      </c>
      <c r="N12" s="123" t="str">
        <f>IF(M12&gt;=M$3,M12,"-")</f>
        <v>-</v>
      </c>
      <c r="O12" s="124" t="str">
        <f t="shared" si="8"/>
        <v>-</v>
      </c>
      <c r="P12" s="53" t="str">
        <f t="shared" si="9"/>
        <v>-</v>
      </c>
      <c r="Q12" s="123" t="str">
        <f t="shared" si="3"/>
        <v>-</v>
      </c>
      <c r="R12" s="124" t="str">
        <f t="shared" si="10"/>
        <v>-</v>
      </c>
      <c r="S12" s="127">
        <f t="shared" si="4"/>
        <v>1</v>
      </c>
      <c r="T12" s="127">
        <f t="shared" si="5"/>
        <v>0</v>
      </c>
    </row>
    <row r="13" spans="1:22" ht="20.100000000000001" customHeight="1">
      <c r="A13" s="11">
        <v>112.5</v>
      </c>
      <c r="B13" s="234">
        <v>7.5</v>
      </c>
      <c r="C13" s="234">
        <f t="shared" ref="C13:C37" si="21">A13*0.2666666667</f>
        <v>30.000000003749999</v>
      </c>
      <c r="D13" s="45" t="s">
        <v>27</v>
      </c>
      <c r="E13" s="7" t="s">
        <v>21</v>
      </c>
      <c r="F13" s="7" t="s">
        <v>8</v>
      </c>
      <c r="G13" s="232" t="s">
        <v>292</v>
      </c>
      <c r="H13" s="48"/>
      <c r="I13" s="50" t="str">
        <f t="shared" si="11"/>
        <v>ＦＲＰ製地中埋設型パイプ流入</v>
      </c>
      <c r="J13" s="51">
        <f t="shared" si="0"/>
        <v>0</v>
      </c>
      <c r="K13" s="51" t="str">
        <f t="shared" si="6"/>
        <v>-</v>
      </c>
      <c r="L13" s="52" t="str">
        <f t="shared" si="1"/>
        <v>-</v>
      </c>
      <c r="M13" s="53" t="str">
        <f t="shared" si="7"/>
        <v>-</v>
      </c>
      <c r="N13" s="123" t="str">
        <f t="shared" si="2"/>
        <v>-</v>
      </c>
      <c r="O13" s="124" t="str">
        <f t="shared" si="8"/>
        <v>-</v>
      </c>
      <c r="P13" s="53" t="str">
        <f t="shared" si="9"/>
        <v>-</v>
      </c>
      <c r="Q13" s="123" t="str">
        <f t="shared" si="3"/>
        <v>-</v>
      </c>
      <c r="R13" s="124" t="str">
        <f t="shared" si="10"/>
        <v>-</v>
      </c>
      <c r="S13" s="127">
        <f t="shared" si="4"/>
        <v>1</v>
      </c>
      <c r="T13" s="127">
        <f t="shared" si="5"/>
        <v>0</v>
      </c>
    </row>
    <row r="14" spans="1:22" ht="20.100000000000001" customHeight="1">
      <c r="A14" s="11">
        <v>75</v>
      </c>
      <c r="B14" s="234">
        <v>5</v>
      </c>
      <c r="C14" s="234">
        <f t="shared" si="21"/>
        <v>20.000000002499998</v>
      </c>
      <c r="D14" s="45" t="s">
        <v>27</v>
      </c>
      <c r="E14" s="7" t="s">
        <v>21</v>
      </c>
      <c r="F14" s="7" t="s">
        <v>8</v>
      </c>
      <c r="G14" s="252" t="s">
        <v>296</v>
      </c>
      <c r="H14" s="48"/>
      <c r="I14" s="50" t="str">
        <f t="shared" si="11"/>
        <v>ＦＲＰ製地中埋設型パイプ流入</v>
      </c>
      <c r="J14" s="51">
        <f t="shared" si="0"/>
        <v>0</v>
      </c>
      <c r="K14" s="51" t="str">
        <f t="shared" si="6"/>
        <v>-</v>
      </c>
      <c r="L14" s="52" t="str">
        <f t="shared" si="1"/>
        <v>-</v>
      </c>
      <c r="M14" s="53" t="str">
        <f t="shared" si="7"/>
        <v>-</v>
      </c>
      <c r="N14" s="123" t="str">
        <f t="shared" si="2"/>
        <v>-</v>
      </c>
      <c r="O14" s="124" t="str">
        <f t="shared" si="8"/>
        <v>-</v>
      </c>
      <c r="P14" s="53" t="str">
        <f t="shared" si="9"/>
        <v>-</v>
      </c>
      <c r="Q14" s="123" t="str">
        <f t="shared" si="3"/>
        <v>-</v>
      </c>
      <c r="R14" s="124" t="str">
        <f t="shared" si="10"/>
        <v>-</v>
      </c>
      <c r="S14" s="127">
        <f t="shared" si="4"/>
        <v>1</v>
      </c>
      <c r="T14" s="127">
        <f t="shared" si="5"/>
        <v>0</v>
      </c>
    </row>
    <row r="15" spans="1:22" ht="20.100000000000001" customHeight="1">
      <c r="A15" s="11">
        <v>75</v>
      </c>
      <c r="B15" s="234">
        <v>5</v>
      </c>
      <c r="C15" s="234">
        <f t="shared" si="21"/>
        <v>20.000000002499998</v>
      </c>
      <c r="D15" s="45" t="s">
        <v>27</v>
      </c>
      <c r="E15" s="7" t="s">
        <v>47</v>
      </c>
      <c r="F15" s="7" t="s">
        <v>8</v>
      </c>
      <c r="G15" s="233" t="s">
        <v>293</v>
      </c>
      <c r="H15" s="48"/>
      <c r="I15" s="50" t="str">
        <f>CONCATENATE(D15,E15,F15)</f>
        <v>ＦＲＰ製地中埋設スリム型パイプ流入</v>
      </c>
      <c r="J15" s="51">
        <f t="shared" si="0"/>
        <v>0</v>
      </c>
      <c r="K15" s="51" t="str">
        <f t="shared" si="6"/>
        <v>-</v>
      </c>
      <c r="L15" s="52" t="str">
        <f>IF(K15&gt;=$K$3,K15,"-")</f>
        <v>-</v>
      </c>
      <c r="M15" s="53" t="str">
        <f t="shared" si="7"/>
        <v>-</v>
      </c>
      <c r="N15" s="123" t="str">
        <f>IF(M15&gt;=M$3,M15,"-")</f>
        <v>-</v>
      </c>
      <c r="O15" s="124" t="str">
        <f t="shared" si="8"/>
        <v>-</v>
      </c>
      <c r="P15" s="53" t="str">
        <f t="shared" si="9"/>
        <v>-</v>
      </c>
      <c r="Q15" s="123" t="str">
        <f t="shared" si="3"/>
        <v>-</v>
      </c>
      <c r="R15" s="124" t="str">
        <f t="shared" si="10"/>
        <v>-</v>
      </c>
      <c r="S15" s="127">
        <f t="shared" si="4"/>
        <v>1</v>
      </c>
      <c r="T15" s="127">
        <f t="shared" si="5"/>
        <v>0</v>
      </c>
    </row>
    <row r="16" spans="1:22" ht="20.100000000000001" customHeight="1">
      <c r="A16" s="11">
        <v>60</v>
      </c>
      <c r="B16" s="234">
        <v>4</v>
      </c>
      <c r="C16" s="234">
        <f t="shared" si="21"/>
        <v>16.000000002</v>
      </c>
      <c r="D16" s="45" t="s">
        <v>27</v>
      </c>
      <c r="E16" s="7" t="s">
        <v>21</v>
      </c>
      <c r="F16" s="7" t="s">
        <v>8</v>
      </c>
      <c r="G16" s="252" t="s">
        <v>297</v>
      </c>
      <c r="H16" s="48"/>
      <c r="I16" s="50" t="str">
        <f t="shared" si="11"/>
        <v>ＦＲＰ製地中埋設型パイプ流入</v>
      </c>
      <c r="J16" s="51">
        <f t="shared" si="0"/>
        <v>0</v>
      </c>
      <c r="K16" s="85" t="str">
        <f t="shared" si="6"/>
        <v>-</v>
      </c>
      <c r="L16" s="86" t="str">
        <f t="shared" si="1"/>
        <v>-</v>
      </c>
      <c r="M16" s="53" t="str">
        <f t="shared" si="7"/>
        <v>-</v>
      </c>
      <c r="N16" s="123" t="str">
        <f t="shared" si="2"/>
        <v>-</v>
      </c>
      <c r="O16" s="124" t="str">
        <f t="shared" si="8"/>
        <v>-</v>
      </c>
      <c r="P16" s="53" t="str">
        <f t="shared" si="9"/>
        <v>-</v>
      </c>
      <c r="Q16" s="123" t="str">
        <f t="shared" si="3"/>
        <v>-</v>
      </c>
      <c r="R16" s="124" t="str">
        <f t="shared" si="10"/>
        <v>-</v>
      </c>
      <c r="S16" s="127">
        <f t="shared" si="4"/>
        <v>1</v>
      </c>
      <c r="T16" s="127">
        <f t="shared" si="5"/>
        <v>0</v>
      </c>
    </row>
    <row r="17" spans="1:20" ht="20.100000000000001" customHeight="1">
      <c r="A17" s="11">
        <v>60</v>
      </c>
      <c r="B17" s="234">
        <v>4</v>
      </c>
      <c r="C17" s="234">
        <f t="shared" si="21"/>
        <v>16.000000002</v>
      </c>
      <c r="D17" s="45" t="s">
        <v>27</v>
      </c>
      <c r="E17" s="7" t="s">
        <v>47</v>
      </c>
      <c r="F17" s="7" t="s">
        <v>8</v>
      </c>
      <c r="G17" s="233" t="s">
        <v>294</v>
      </c>
      <c r="H17" s="48"/>
      <c r="I17" s="50" t="str">
        <f>CONCATENATE(D17,E17,F17)</f>
        <v>ＦＲＰ製地中埋設スリム型パイプ流入</v>
      </c>
      <c r="J17" s="51">
        <f t="shared" si="0"/>
        <v>0</v>
      </c>
      <c r="K17" s="51" t="str">
        <f t="shared" si="6"/>
        <v>-</v>
      </c>
      <c r="L17" s="52" t="str">
        <f>IF(K17&gt;=$K$3,K17,"-")</f>
        <v>-</v>
      </c>
      <c r="M17" s="53" t="str">
        <f t="shared" si="7"/>
        <v>-</v>
      </c>
      <c r="N17" s="123" t="str">
        <f>IF(M17&gt;=M$3,M17,"-")</f>
        <v>-</v>
      </c>
      <c r="O17" s="124" t="str">
        <f t="shared" si="8"/>
        <v>-</v>
      </c>
      <c r="P17" s="53" t="str">
        <f t="shared" si="9"/>
        <v>-</v>
      </c>
      <c r="Q17" s="123" t="str">
        <f t="shared" si="3"/>
        <v>-</v>
      </c>
      <c r="R17" s="124" t="str">
        <f t="shared" si="10"/>
        <v>-</v>
      </c>
      <c r="S17" s="127">
        <f t="shared" si="4"/>
        <v>1</v>
      </c>
      <c r="T17" s="127">
        <f t="shared" si="5"/>
        <v>0</v>
      </c>
    </row>
    <row r="18" spans="1:20" ht="20.100000000000001" customHeight="1">
      <c r="A18" s="11">
        <v>37.5</v>
      </c>
      <c r="B18" s="234">
        <v>2.5</v>
      </c>
      <c r="C18" s="234">
        <f t="shared" si="21"/>
        <v>10.000000001249999</v>
      </c>
      <c r="D18" s="45" t="s">
        <v>27</v>
      </c>
      <c r="E18" s="7" t="s">
        <v>21</v>
      </c>
      <c r="F18" s="7" t="s">
        <v>8</v>
      </c>
      <c r="G18" s="252" t="s">
        <v>298</v>
      </c>
      <c r="H18" s="48"/>
      <c r="I18" s="50" t="str">
        <f t="shared" si="11"/>
        <v>ＦＲＰ製地中埋設型パイプ流入</v>
      </c>
      <c r="J18" s="51">
        <f t="shared" si="0"/>
        <v>0</v>
      </c>
      <c r="K18" s="51" t="str">
        <f t="shared" si="6"/>
        <v>-</v>
      </c>
      <c r="L18" s="52" t="str">
        <f t="shared" si="1"/>
        <v>-</v>
      </c>
      <c r="M18" s="53" t="str">
        <f t="shared" si="7"/>
        <v>-</v>
      </c>
      <c r="N18" s="123" t="str">
        <f t="shared" si="2"/>
        <v>-</v>
      </c>
      <c r="O18" s="124" t="str">
        <f t="shared" si="8"/>
        <v>-</v>
      </c>
      <c r="P18" s="53" t="str">
        <f t="shared" si="9"/>
        <v>-</v>
      </c>
      <c r="Q18" s="123" t="str">
        <f t="shared" si="3"/>
        <v>-</v>
      </c>
      <c r="R18" s="124" t="str">
        <f t="shared" si="10"/>
        <v>-</v>
      </c>
      <c r="S18" s="127">
        <f t="shared" si="4"/>
        <v>1</v>
      </c>
      <c r="T18" s="127">
        <f t="shared" si="5"/>
        <v>0</v>
      </c>
    </row>
    <row r="19" spans="1:20" ht="20.100000000000001" customHeight="1">
      <c r="A19" s="11">
        <v>37.5</v>
      </c>
      <c r="B19" s="234">
        <v>2.5</v>
      </c>
      <c r="C19" s="234">
        <f t="shared" si="21"/>
        <v>10.000000001249999</v>
      </c>
      <c r="D19" s="45" t="s">
        <v>27</v>
      </c>
      <c r="E19" s="7" t="s">
        <v>47</v>
      </c>
      <c r="F19" s="7" t="s">
        <v>8</v>
      </c>
      <c r="G19" s="233" t="s">
        <v>295</v>
      </c>
      <c r="H19" s="48"/>
      <c r="I19" s="50" t="str">
        <f>CONCATENATE(D19,E19,F19)</f>
        <v>ＦＲＰ製地中埋設スリム型パイプ流入</v>
      </c>
      <c r="J19" s="51">
        <f t="shared" si="0"/>
        <v>0</v>
      </c>
      <c r="K19" s="51" t="str">
        <f t="shared" si="6"/>
        <v>-</v>
      </c>
      <c r="L19" s="52" t="str">
        <f>IF(K19&gt;=$K$3,K19,"-")</f>
        <v>-</v>
      </c>
      <c r="M19" s="53" t="str">
        <f t="shared" si="7"/>
        <v>-</v>
      </c>
      <c r="N19" s="123" t="str">
        <f>IF(M19&gt;=M$3,M19,"-")</f>
        <v>-</v>
      </c>
      <c r="O19" s="124" t="str">
        <f t="shared" si="8"/>
        <v>-</v>
      </c>
      <c r="P19" s="53" t="str">
        <f t="shared" si="9"/>
        <v>-</v>
      </c>
      <c r="Q19" s="123" t="str">
        <f t="shared" si="3"/>
        <v>-</v>
      </c>
      <c r="R19" s="124" t="str">
        <f t="shared" si="10"/>
        <v>-</v>
      </c>
      <c r="S19" s="127">
        <f t="shared" si="4"/>
        <v>1</v>
      </c>
      <c r="T19" s="127">
        <f t="shared" si="5"/>
        <v>0</v>
      </c>
    </row>
    <row r="20" spans="1:20" ht="20.100000000000001" customHeight="1">
      <c r="A20" s="235">
        <v>375</v>
      </c>
      <c r="B20" s="236">
        <v>25</v>
      </c>
      <c r="C20" s="236">
        <v>100.4</v>
      </c>
      <c r="D20" s="44" t="s">
        <v>20</v>
      </c>
      <c r="E20" s="6" t="s">
        <v>22</v>
      </c>
      <c r="F20" s="6" t="s">
        <v>8</v>
      </c>
      <c r="G20" s="242" t="s">
        <v>231</v>
      </c>
      <c r="H20" s="48"/>
      <c r="I20" s="50" t="str">
        <f t="shared" ref="I20:I37" si="22">CONCATENATE(D20,E20,F20)</f>
        <v>ＳＵＳ製床吊型パイプ流入</v>
      </c>
      <c r="J20" s="51">
        <f t="shared" si="0"/>
        <v>0</v>
      </c>
      <c r="K20" s="51" t="str">
        <f t="shared" si="6"/>
        <v>-</v>
      </c>
      <c r="L20" s="52" t="str">
        <f>IF(K20&gt;=$K$3,K20,"-")</f>
        <v>-</v>
      </c>
      <c r="M20" s="53" t="str">
        <f t="shared" si="7"/>
        <v>-</v>
      </c>
      <c r="N20" s="123" t="str">
        <f t="shared" si="2"/>
        <v>-</v>
      </c>
      <c r="O20" s="124" t="str">
        <f t="shared" si="8"/>
        <v>-</v>
      </c>
      <c r="P20" s="53" t="str">
        <f t="shared" si="9"/>
        <v>-</v>
      </c>
      <c r="Q20" s="123" t="str">
        <f t="shared" si="3"/>
        <v>-</v>
      </c>
      <c r="R20" s="124" t="str">
        <f t="shared" si="10"/>
        <v>-</v>
      </c>
      <c r="S20" s="127">
        <f t="shared" si="4"/>
        <v>1</v>
      </c>
      <c r="T20" s="127">
        <f t="shared" si="5"/>
        <v>0</v>
      </c>
    </row>
    <row r="21" spans="1:20" ht="20.100000000000001" customHeight="1">
      <c r="A21" s="10">
        <v>300</v>
      </c>
      <c r="B21" s="120">
        <v>20</v>
      </c>
      <c r="C21" s="120">
        <v>80.3</v>
      </c>
      <c r="D21" s="44" t="s">
        <v>20</v>
      </c>
      <c r="E21" s="6" t="s">
        <v>22</v>
      </c>
      <c r="F21" s="6" t="s">
        <v>8</v>
      </c>
      <c r="G21" s="6" t="s">
        <v>39</v>
      </c>
      <c r="H21" s="48"/>
      <c r="I21" s="50" t="str">
        <f t="shared" ref="I21:I28" si="23">CONCATENATE(D21,E21,F21)</f>
        <v>ＳＵＳ製床吊型パイプ流入</v>
      </c>
      <c r="J21" s="51">
        <f t="shared" si="0"/>
        <v>0</v>
      </c>
      <c r="K21" s="51" t="str">
        <f t="shared" ref="K21:K28" si="24">IF(J21=1, A21,"-")</f>
        <v>-</v>
      </c>
      <c r="L21" s="52" t="str">
        <f t="shared" ref="L21:L28" si="25">IF(K21&gt;=$K$3,K21,"-")</f>
        <v>-</v>
      </c>
      <c r="M21" s="53" t="str">
        <f t="shared" ref="M21:M28" si="26">IF($J21=1,B21, "-")</f>
        <v>-</v>
      </c>
      <c r="N21" s="123" t="str">
        <f t="shared" ref="N21:N28" si="27">IF(M21&gt;=M$3,M21,"-")</f>
        <v>-</v>
      </c>
      <c r="O21" s="124" t="str">
        <f t="shared" ref="O21:O28" si="28">IF(N21="-","-",$A21)</f>
        <v>-</v>
      </c>
      <c r="P21" s="53" t="str">
        <f t="shared" ref="P21:P28" si="29">IF($J21=1,C21, "-")</f>
        <v>-</v>
      </c>
      <c r="Q21" s="123" t="str">
        <f t="shared" ref="Q21:Q28" si="30">IF(P21&gt;=P$3,P21,"-")</f>
        <v>-</v>
      </c>
      <c r="R21" s="124" t="str">
        <f t="shared" ref="R21:R28" si="31">IF(Q21="-","-",$A21)</f>
        <v>-</v>
      </c>
      <c r="S21" s="127">
        <f t="shared" si="4"/>
        <v>1</v>
      </c>
      <c r="T21" s="127">
        <f t="shared" si="5"/>
        <v>0</v>
      </c>
    </row>
    <row r="22" spans="1:20" ht="20.100000000000001" customHeight="1">
      <c r="A22" s="10">
        <v>191.2</v>
      </c>
      <c r="B22" s="120">
        <v>12.7</v>
      </c>
      <c r="C22" s="120">
        <v>51.1</v>
      </c>
      <c r="D22" s="44" t="s">
        <v>20</v>
      </c>
      <c r="E22" s="6" t="s">
        <v>22</v>
      </c>
      <c r="F22" s="6" t="s">
        <v>8</v>
      </c>
      <c r="G22" s="6" t="s">
        <v>197</v>
      </c>
      <c r="H22" s="48"/>
      <c r="I22" s="50" t="str">
        <f t="shared" si="23"/>
        <v>ＳＵＳ製床吊型パイプ流入</v>
      </c>
      <c r="J22" s="51">
        <f t="shared" si="0"/>
        <v>0</v>
      </c>
      <c r="K22" s="51" t="str">
        <f t="shared" si="24"/>
        <v>-</v>
      </c>
      <c r="L22" s="52" t="str">
        <f t="shared" si="25"/>
        <v>-</v>
      </c>
      <c r="M22" s="53" t="str">
        <f t="shared" si="26"/>
        <v>-</v>
      </c>
      <c r="N22" s="123" t="str">
        <f t="shared" si="27"/>
        <v>-</v>
      </c>
      <c r="O22" s="124" t="str">
        <f t="shared" si="28"/>
        <v>-</v>
      </c>
      <c r="P22" s="53" t="str">
        <f t="shared" si="29"/>
        <v>-</v>
      </c>
      <c r="Q22" s="123" t="str">
        <f t="shared" si="30"/>
        <v>-</v>
      </c>
      <c r="R22" s="124" t="str">
        <f t="shared" si="31"/>
        <v>-</v>
      </c>
      <c r="S22" s="127">
        <f t="shared" si="4"/>
        <v>1</v>
      </c>
      <c r="T22" s="127">
        <f t="shared" si="5"/>
        <v>0</v>
      </c>
    </row>
    <row r="23" spans="1:20" ht="20.100000000000001" customHeight="1">
      <c r="A23" s="10">
        <v>150</v>
      </c>
      <c r="B23" s="120">
        <v>10</v>
      </c>
      <c r="C23" s="120">
        <v>40.1</v>
      </c>
      <c r="D23" s="44" t="s">
        <v>20</v>
      </c>
      <c r="E23" s="6" t="s">
        <v>22</v>
      </c>
      <c r="F23" s="6" t="s">
        <v>8</v>
      </c>
      <c r="G23" s="6" t="s">
        <v>40</v>
      </c>
      <c r="H23" s="48"/>
      <c r="I23" s="50" t="str">
        <f t="shared" si="23"/>
        <v>ＳＵＳ製床吊型パイプ流入</v>
      </c>
      <c r="J23" s="51">
        <f t="shared" si="0"/>
        <v>0</v>
      </c>
      <c r="K23" s="51" t="str">
        <f t="shared" si="24"/>
        <v>-</v>
      </c>
      <c r="L23" s="52" t="str">
        <f t="shared" si="25"/>
        <v>-</v>
      </c>
      <c r="M23" s="53" t="str">
        <f t="shared" si="26"/>
        <v>-</v>
      </c>
      <c r="N23" s="123" t="str">
        <f t="shared" si="27"/>
        <v>-</v>
      </c>
      <c r="O23" s="124" t="str">
        <f t="shared" si="28"/>
        <v>-</v>
      </c>
      <c r="P23" s="53" t="str">
        <f t="shared" si="29"/>
        <v>-</v>
      </c>
      <c r="Q23" s="123" t="str">
        <f t="shared" si="30"/>
        <v>-</v>
      </c>
      <c r="R23" s="124" t="str">
        <f t="shared" si="31"/>
        <v>-</v>
      </c>
      <c r="S23" s="127">
        <f t="shared" si="4"/>
        <v>1</v>
      </c>
      <c r="T23" s="127">
        <f t="shared" si="5"/>
        <v>0</v>
      </c>
    </row>
    <row r="24" spans="1:20" ht="20.100000000000001" customHeight="1">
      <c r="A24" s="10">
        <v>131.19999999999999</v>
      </c>
      <c r="B24" s="120">
        <v>8.6999999999999993</v>
      </c>
      <c r="C24" s="120">
        <v>35.1</v>
      </c>
      <c r="D24" s="44" t="s">
        <v>20</v>
      </c>
      <c r="E24" s="6" t="s">
        <v>22</v>
      </c>
      <c r="F24" s="6" t="s">
        <v>8</v>
      </c>
      <c r="G24" s="6" t="s">
        <v>196</v>
      </c>
      <c r="H24" s="48"/>
      <c r="I24" s="50" t="str">
        <f t="shared" si="23"/>
        <v>ＳＵＳ製床吊型パイプ流入</v>
      </c>
      <c r="J24" s="51">
        <f t="shared" si="0"/>
        <v>0</v>
      </c>
      <c r="K24" s="51" t="str">
        <f t="shared" si="24"/>
        <v>-</v>
      </c>
      <c r="L24" s="52" t="str">
        <f t="shared" si="25"/>
        <v>-</v>
      </c>
      <c r="M24" s="53" t="str">
        <f t="shared" si="26"/>
        <v>-</v>
      </c>
      <c r="N24" s="123" t="str">
        <f t="shared" si="27"/>
        <v>-</v>
      </c>
      <c r="O24" s="124" t="str">
        <f t="shared" si="28"/>
        <v>-</v>
      </c>
      <c r="P24" s="53" t="str">
        <f t="shared" si="29"/>
        <v>-</v>
      </c>
      <c r="Q24" s="123" t="str">
        <f t="shared" si="30"/>
        <v>-</v>
      </c>
      <c r="R24" s="124" t="str">
        <f t="shared" si="31"/>
        <v>-</v>
      </c>
      <c r="S24" s="127">
        <f t="shared" si="4"/>
        <v>1</v>
      </c>
      <c r="T24" s="127">
        <f t="shared" si="5"/>
        <v>0</v>
      </c>
    </row>
    <row r="25" spans="1:20" ht="20.100000000000001" customHeight="1">
      <c r="A25" s="10">
        <v>120</v>
      </c>
      <c r="B25" s="120">
        <v>8</v>
      </c>
      <c r="C25" s="120">
        <v>32.1</v>
      </c>
      <c r="D25" s="44" t="s">
        <v>20</v>
      </c>
      <c r="E25" s="6" t="s">
        <v>22</v>
      </c>
      <c r="F25" s="6" t="s">
        <v>8</v>
      </c>
      <c r="G25" s="6" t="s">
        <v>195</v>
      </c>
      <c r="H25" s="48"/>
      <c r="I25" s="50" t="str">
        <f t="shared" si="23"/>
        <v>ＳＵＳ製床吊型パイプ流入</v>
      </c>
      <c r="J25" s="51">
        <f t="shared" si="0"/>
        <v>0</v>
      </c>
      <c r="K25" s="51" t="str">
        <f t="shared" si="24"/>
        <v>-</v>
      </c>
      <c r="L25" s="52" t="str">
        <f t="shared" si="25"/>
        <v>-</v>
      </c>
      <c r="M25" s="53" t="str">
        <f t="shared" si="26"/>
        <v>-</v>
      </c>
      <c r="N25" s="123" t="str">
        <f t="shared" si="27"/>
        <v>-</v>
      </c>
      <c r="O25" s="124" t="str">
        <f t="shared" si="28"/>
        <v>-</v>
      </c>
      <c r="P25" s="53" t="str">
        <f t="shared" si="29"/>
        <v>-</v>
      </c>
      <c r="Q25" s="123" t="str">
        <f t="shared" si="30"/>
        <v>-</v>
      </c>
      <c r="R25" s="124" t="str">
        <f t="shared" si="31"/>
        <v>-</v>
      </c>
      <c r="S25" s="127">
        <f t="shared" si="4"/>
        <v>1</v>
      </c>
      <c r="T25" s="127">
        <f t="shared" si="5"/>
        <v>0</v>
      </c>
    </row>
    <row r="26" spans="1:20" ht="20.100000000000001" customHeight="1">
      <c r="A26" s="10">
        <v>82.5</v>
      </c>
      <c r="B26" s="120">
        <v>5.5</v>
      </c>
      <c r="C26" s="120">
        <f>A26*0.2666666667</f>
        <v>22.000000002749999</v>
      </c>
      <c r="D26" s="44" t="s">
        <v>20</v>
      </c>
      <c r="E26" s="6" t="s">
        <v>22</v>
      </c>
      <c r="F26" s="6" t="s">
        <v>8</v>
      </c>
      <c r="G26" s="6" t="s">
        <v>194</v>
      </c>
      <c r="H26" s="48"/>
      <c r="I26" s="50" t="str">
        <f t="shared" si="23"/>
        <v>ＳＵＳ製床吊型パイプ流入</v>
      </c>
      <c r="J26" s="51">
        <f t="shared" si="0"/>
        <v>0</v>
      </c>
      <c r="K26" s="51" t="str">
        <f t="shared" si="24"/>
        <v>-</v>
      </c>
      <c r="L26" s="52" t="str">
        <f t="shared" si="25"/>
        <v>-</v>
      </c>
      <c r="M26" s="53" t="str">
        <f t="shared" si="26"/>
        <v>-</v>
      </c>
      <c r="N26" s="123" t="str">
        <f t="shared" si="27"/>
        <v>-</v>
      </c>
      <c r="O26" s="124" t="str">
        <f t="shared" si="28"/>
        <v>-</v>
      </c>
      <c r="P26" s="53" t="str">
        <f t="shared" si="29"/>
        <v>-</v>
      </c>
      <c r="Q26" s="123" t="str">
        <f t="shared" si="30"/>
        <v>-</v>
      </c>
      <c r="R26" s="124" t="str">
        <f t="shared" si="31"/>
        <v>-</v>
      </c>
      <c r="S26" s="127">
        <f t="shared" si="4"/>
        <v>1</v>
      </c>
      <c r="T26" s="127">
        <f t="shared" si="5"/>
        <v>0</v>
      </c>
    </row>
    <row r="27" spans="1:20" ht="20.100000000000001" customHeight="1">
      <c r="A27" s="10">
        <v>63.7</v>
      </c>
      <c r="B27" s="120">
        <v>4.2</v>
      </c>
      <c r="C27" s="120">
        <v>17</v>
      </c>
      <c r="D27" s="44" t="s">
        <v>20</v>
      </c>
      <c r="E27" s="6" t="s">
        <v>22</v>
      </c>
      <c r="F27" s="6" t="s">
        <v>8</v>
      </c>
      <c r="G27" s="6" t="s">
        <v>193</v>
      </c>
      <c r="H27" s="48"/>
      <c r="I27" s="50" t="str">
        <f t="shared" si="23"/>
        <v>ＳＵＳ製床吊型パイプ流入</v>
      </c>
      <c r="J27" s="51">
        <f t="shared" si="0"/>
        <v>0</v>
      </c>
      <c r="K27" s="51" t="str">
        <f t="shared" si="24"/>
        <v>-</v>
      </c>
      <c r="L27" s="52" t="str">
        <f t="shared" si="25"/>
        <v>-</v>
      </c>
      <c r="M27" s="53" t="str">
        <f t="shared" si="26"/>
        <v>-</v>
      </c>
      <c r="N27" s="123" t="str">
        <f t="shared" si="27"/>
        <v>-</v>
      </c>
      <c r="O27" s="124" t="str">
        <f t="shared" si="28"/>
        <v>-</v>
      </c>
      <c r="P27" s="53" t="str">
        <f t="shared" si="29"/>
        <v>-</v>
      </c>
      <c r="Q27" s="123" t="str">
        <f t="shared" si="30"/>
        <v>-</v>
      </c>
      <c r="R27" s="124" t="str">
        <f t="shared" si="31"/>
        <v>-</v>
      </c>
      <c r="S27" s="127">
        <f t="shared" si="4"/>
        <v>1</v>
      </c>
      <c r="T27" s="127">
        <f t="shared" si="5"/>
        <v>0</v>
      </c>
    </row>
    <row r="28" spans="1:20" ht="20.100000000000001" customHeight="1">
      <c r="A28" s="10">
        <v>45</v>
      </c>
      <c r="B28" s="120">
        <v>3</v>
      </c>
      <c r="C28" s="120">
        <f>A28*0.2666666667</f>
        <v>12.0000000015</v>
      </c>
      <c r="D28" s="44" t="s">
        <v>20</v>
      </c>
      <c r="E28" s="6" t="s">
        <v>22</v>
      </c>
      <c r="F28" s="6" t="s">
        <v>8</v>
      </c>
      <c r="G28" s="6" t="s">
        <v>192</v>
      </c>
      <c r="H28" s="48"/>
      <c r="I28" s="50" t="str">
        <f t="shared" si="23"/>
        <v>ＳＵＳ製床吊型パイプ流入</v>
      </c>
      <c r="J28" s="51">
        <f t="shared" si="0"/>
        <v>0</v>
      </c>
      <c r="K28" s="51" t="str">
        <f t="shared" si="24"/>
        <v>-</v>
      </c>
      <c r="L28" s="52" t="str">
        <f t="shared" si="25"/>
        <v>-</v>
      </c>
      <c r="M28" s="53" t="str">
        <f t="shared" si="26"/>
        <v>-</v>
      </c>
      <c r="N28" s="123" t="str">
        <f t="shared" si="27"/>
        <v>-</v>
      </c>
      <c r="O28" s="124" t="str">
        <f t="shared" si="28"/>
        <v>-</v>
      </c>
      <c r="P28" s="53" t="str">
        <f t="shared" si="29"/>
        <v>-</v>
      </c>
      <c r="Q28" s="123" t="str">
        <f t="shared" si="30"/>
        <v>-</v>
      </c>
      <c r="R28" s="124" t="str">
        <f t="shared" si="31"/>
        <v>-</v>
      </c>
      <c r="S28" s="127">
        <f t="shared" si="4"/>
        <v>1</v>
      </c>
      <c r="T28" s="127">
        <f t="shared" si="5"/>
        <v>0</v>
      </c>
    </row>
    <row r="29" spans="1:20" ht="20.100000000000001" customHeight="1">
      <c r="A29" s="235">
        <v>375</v>
      </c>
      <c r="B29" s="236">
        <v>25</v>
      </c>
      <c r="C29" s="236">
        <v>100.4</v>
      </c>
      <c r="D29" s="44" t="s">
        <v>20</v>
      </c>
      <c r="E29" s="6" t="s">
        <v>22</v>
      </c>
      <c r="F29" s="6" t="s">
        <v>9</v>
      </c>
      <c r="G29" s="242" t="s">
        <v>233</v>
      </c>
      <c r="H29" s="48"/>
      <c r="I29" s="50" t="str">
        <f>CONCATENATE(D29,E29,F29)</f>
        <v>ＳＵＳ製床吊型側溝流入</v>
      </c>
      <c r="J29" s="51">
        <f t="shared" si="0"/>
        <v>0</v>
      </c>
      <c r="K29" s="51" t="str">
        <f>IF(J29=1, A29,"-")</f>
        <v>-</v>
      </c>
      <c r="L29" s="52" t="str">
        <f>IF(K29&gt;=$K$3,K29,"-")</f>
        <v>-</v>
      </c>
      <c r="M29" s="53" t="str">
        <f>IF($J29=1,B29, "-")</f>
        <v>-</v>
      </c>
      <c r="N29" s="123" t="str">
        <f>IF(M29&gt;=M$3,M29,"-")</f>
        <v>-</v>
      </c>
      <c r="O29" s="124" t="str">
        <f>IF(N29="-","-",$A29)</f>
        <v>-</v>
      </c>
      <c r="P29" s="53" t="str">
        <f>IF($J29=1,C29, "-")</f>
        <v>-</v>
      </c>
      <c r="Q29" s="123" t="str">
        <f>IF(P29&gt;=P$3,P29,"-")</f>
        <v>-</v>
      </c>
      <c r="R29" s="124" t="str">
        <f>IF(Q29="-","-",$A29)</f>
        <v>-</v>
      </c>
      <c r="S29" s="127">
        <f t="shared" si="4"/>
        <v>1</v>
      </c>
      <c r="T29" s="127">
        <f t="shared" si="5"/>
        <v>0</v>
      </c>
    </row>
    <row r="30" spans="1:20" ht="20.100000000000001" customHeight="1">
      <c r="A30" s="10">
        <v>300</v>
      </c>
      <c r="B30" s="120">
        <v>20</v>
      </c>
      <c r="C30" s="120">
        <v>80.3</v>
      </c>
      <c r="D30" s="44" t="s">
        <v>20</v>
      </c>
      <c r="E30" s="6" t="s">
        <v>22</v>
      </c>
      <c r="F30" s="6" t="s">
        <v>9</v>
      </c>
      <c r="G30" s="6" t="s">
        <v>41</v>
      </c>
      <c r="H30" s="48"/>
      <c r="I30" s="50" t="str">
        <f t="shared" si="22"/>
        <v>ＳＵＳ製床吊型側溝流入</v>
      </c>
      <c r="J30" s="51">
        <f t="shared" si="0"/>
        <v>0</v>
      </c>
      <c r="K30" s="51" t="str">
        <f t="shared" si="6"/>
        <v>-</v>
      </c>
      <c r="L30" s="52" t="str">
        <f t="shared" ref="L30:L37" si="32">IF(K30&gt;=$K$3,K30,"-")</f>
        <v>-</v>
      </c>
      <c r="M30" s="53" t="str">
        <f t="shared" si="7"/>
        <v>-</v>
      </c>
      <c r="N30" s="123" t="str">
        <f t="shared" si="2"/>
        <v>-</v>
      </c>
      <c r="O30" s="124" t="str">
        <f t="shared" si="8"/>
        <v>-</v>
      </c>
      <c r="P30" s="53" t="str">
        <f t="shared" si="9"/>
        <v>-</v>
      </c>
      <c r="Q30" s="123" t="str">
        <f t="shared" si="3"/>
        <v>-</v>
      </c>
      <c r="R30" s="124" t="str">
        <f t="shared" si="10"/>
        <v>-</v>
      </c>
      <c r="S30" s="127">
        <f t="shared" si="4"/>
        <v>1</v>
      </c>
      <c r="T30" s="127">
        <f t="shared" si="5"/>
        <v>0</v>
      </c>
    </row>
    <row r="31" spans="1:20" ht="20.100000000000001" customHeight="1">
      <c r="A31" s="10">
        <v>191.2</v>
      </c>
      <c r="B31" s="120">
        <v>12.7</v>
      </c>
      <c r="C31" s="120">
        <v>51.1</v>
      </c>
      <c r="D31" s="44" t="s">
        <v>20</v>
      </c>
      <c r="E31" s="6" t="s">
        <v>22</v>
      </c>
      <c r="F31" s="6" t="s">
        <v>9</v>
      </c>
      <c r="G31" s="6" t="s">
        <v>191</v>
      </c>
      <c r="H31" s="48"/>
      <c r="I31" s="50" t="str">
        <f t="shared" si="22"/>
        <v>ＳＵＳ製床吊型側溝流入</v>
      </c>
      <c r="J31" s="51">
        <f t="shared" si="0"/>
        <v>0</v>
      </c>
      <c r="K31" s="51" t="str">
        <f t="shared" si="6"/>
        <v>-</v>
      </c>
      <c r="L31" s="52" t="str">
        <f t="shared" si="32"/>
        <v>-</v>
      </c>
      <c r="M31" s="53" t="str">
        <f t="shared" si="7"/>
        <v>-</v>
      </c>
      <c r="N31" s="123" t="str">
        <f t="shared" si="2"/>
        <v>-</v>
      </c>
      <c r="O31" s="124" t="str">
        <f t="shared" si="8"/>
        <v>-</v>
      </c>
      <c r="P31" s="53" t="str">
        <f t="shared" si="9"/>
        <v>-</v>
      </c>
      <c r="Q31" s="123" t="str">
        <f t="shared" si="3"/>
        <v>-</v>
      </c>
      <c r="R31" s="124" t="str">
        <f t="shared" si="10"/>
        <v>-</v>
      </c>
      <c r="S31" s="127">
        <f t="shared" si="4"/>
        <v>1</v>
      </c>
      <c r="T31" s="127">
        <f t="shared" si="5"/>
        <v>0</v>
      </c>
    </row>
    <row r="32" spans="1:20" ht="20.100000000000001" customHeight="1">
      <c r="A32" s="10">
        <v>150</v>
      </c>
      <c r="B32" s="120">
        <v>10</v>
      </c>
      <c r="C32" s="120">
        <v>40.1</v>
      </c>
      <c r="D32" s="44" t="s">
        <v>20</v>
      </c>
      <c r="E32" s="6" t="s">
        <v>22</v>
      </c>
      <c r="F32" s="6" t="s">
        <v>9</v>
      </c>
      <c r="G32" s="6" t="s">
        <v>42</v>
      </c>
      <c r="H32" s="48"/>
      <c r="I32" s="50" t="str">
        <f t="shared" si="22"/>
        <v>ＳＵＳ製床吊型側溝流入</v>
      </c>
      <c r="J32" s="51">
        <f t="shared" si="0"/>
        <v>0</v>
      </c>
      <c r="K32" s="51" t="str">
        <f t="shared" si="6"/>
        <v>-</v>
      </c>
      <c r="L32" s="52" t="str">
        <f t="shared" si="32"/>
        <v>-</v>
      </c>
      <c r="M32" s="53" t="str">
        <f t="shared" si="7"/>
        <v>-</v>
      </c>
      <c r="N32" s="123" t="str">
        <f t="shared" si="2"/>
        <v>-</v>
      </c>
      <c r="O32" s="124" t="str">
        <f t="shared" si="8"/>
        <v>-</v>
      </c>
      <c r="P32" s="53" t="str">
        <f t="shared" si="9"/>
        <v>-</v>
      </c>
      <c r="Q32" s="123" t="str">
        <f t="shared" si="3"/>
        <v>-</v>
      </c>
      <c r="R32" s="124" t="str">
        <f t="shared" si="10"/>
        <v>-</v>
      </c>
      <c r="S32" s="127">
        <f t="shared" si="4"/>
        <v>1</v>
      </c>
      <c r="T32" s="127">
        <f t="shared" si="5"/>
        <v>0</v>
      </c>
    </row>
    <row r="33" spans="1:20" ht="20.100000000000001" customHeight="1">
      <c r="A33" s="10">
        <v>131.19999999999999</v>
      </c>
      <c r="B33" s="120">
        <v>8.6999999999999993</v>
      </c>
      <c r="C33" s="120">
        <v>35.1</v>
      </c>
      <c r="D33" s="44" t="s">
        <v>20</v>
      </c>
      <c r="E33" s="6" t="s">
        <v>22</v>
      </c>
      <c r="F33" s="6" t="s">
        <v>9</v>
      </c>
      <c r="G33" s="6" t="s">
        <v>190</v>
      </c>
      <c r="H33" s="48"/>
      <c r="I33" s="50" t="str">
        <f t="shared" si="22"/>
        <v>ＳＵＳ製床吊型側溝流入</v>
      </c>
      <c r="J33" s="51">
        <f t="shared" si="0"/>
        <v>0</v>
      </c>
      <c r="K33" s="51" t="str">
        <f t="shared" si="6"/>
        <v>-</v>
      </c>
      <c r="L33" s="52" t="str">
        <f t="shared" si="32"/>
        <v>-</v>
      </c>
      <c r="M33" s="53" t="str">
        <f t="shared" si="7"/>
        <v>-</v>
      </c>
      <c r="N33" s="123" t="str">
        <f t="shared" si="2"/>
        <v>-</v>
      </c>
      <c r="O33" s="124" t="str">
        <f t="shared" si="8"/>
        <v>-</v>
      </c>
      <c r="P33" s="53" t="str">
        <f t="shared" si="9"/>
        <v>-</v>
      </c>
      <c r="Q33" s="123" t="str">
        <f t="shared" si="3"/>
        <v>-</v>
      </c>
      <c r="R33" s="124" t="str">
        <f t="shared" si="10"/>
        <v>-</v>
      </c>
      <c r="S33" s="127">
        <f t="shared" si="4"/>
        <v>1</v>
      </c>
      <c r="T33" s="127">
        <f t="shared" si="5"/>
        <v>0</v>
      </c>
    </row>
    <row r="34" spans="1:20" ht="20.100000000000001" customHeight="1">
      <c r="A34" s="10">
        <v>120</v>
      </c>
      <c r="B34" s="120">
        <v>8</v>
      </c>
      <c r="C34" s="120">
        <v>32.1</v>
      </c>
      <c r="D34" s="44" t="s">
        <v>20</v>
      </c>
      <c r="E34" s="6" t="s">
        <v>22</v>
      </c>
      <c r="F34" s="6" t="s">
        <v>9</v>
      </c>
      <c r="G34" s="6" t="s">
        <v>189</v>
      </c>
      <c r="H34" s="48"/>
      <c r="I34" s="50" t="str">
        <f t="shared" si="22"/>
        <v>ＳＵＳ製床吊型側溝流入</v>
      </c>
      <c r="J34" s="51">
        <f t="shared" si="0"/>
        <v>0</v>
      </c>
      <c r="K34" s="51" t="str">
        <f t="shared" si="6"/>
        <v>-</v>
      </c>
      <c r="L34" s="52" t="str">
        <f t="shared" si="32"/>
        <v>-</v>
      </c>
      <c r="M34" s="53" t="str">
        <f t="shared" si="7"/>
        <v>-</v>
      </c>
      <c r="N34" s="123" t="str">
        <f t="shared" si="2"/>
        <v>-</v>
      </c>
      <c r="O34" s="124" t="str">
        <f t="shared" si="8"/>
        <v>-</v>
      </c>
      <c r="P34" s="53" t="str">
        <f t="shared" si="9"/>
        <v>-</v>
      </c>
      <c r="Q34" s="123" t="str">
        <f t="shared" si="3"/>
        <v>-</v>
      </c>
      <c r="R34" s="124" t="str">
        <f t="shared" si="10"/>
        <v>-</v>
      </c>
      <c r="S34" s="127">
        <f t="shared" si="4"/>
        <v>1</v>
      </c>
      <c r="T34" s="127">
        <f t="shared" si="5"/>
        <v>0</v>
      </c>
    </row>
    <row r="35" spans="1:20" ht="20.100000000000001" customHeight="1">
      <c r="A35" s="10">
        <v>82.5</v>
      </c>
      <c r="B35" s="120">
        <v>5.5</v>
      </c>
      <c r="C35" s="120">
        <f t="shared" si="21"/>
        <v>22.000000002749999</v>
      </c>
      <c r="D35" s="44" t="s">
        <v>20</v>
      </c>
      <c r="E35" s="6" t="s">
        <v>22</v>
      </c>
      <c r="F35" s="6" t="s">
        <v>9</v>
      </c>
      <c r="G35" s="6" t="s">
        <v>188</v>
      </c>
      <c r="H35" s="48"/>
      <c r="I35" s="50" t="str">
        <f t="shared" si="22"/>
        <v>ＳＵＳ製床吊型側溝流入</v>
      </c>
      <c r="J35" s="51">
        <f t="shared" si="0"/>
        <v>0</v>
      </c>
      <c r="K35" s="51" t="str">
        <f t="shared" si="6"/>
        <v>-</v>
      </c>
      <c r="L35" s="52" t="str">
        <f t="shared" si="32"/>
        <v>-</v>
      </c>
      <c r="M35" s="53" t="str">
        <f t="shared" si="7"/>
        <v>-</v>
      </c>
      <c r="N35" s="123" t="str">
        <f t="shared" si="2"/>
        <v>-</v>
      </c>
      <c r="O35" s="124" t="str">
        <f t="shared" si="8"/>
        <v>-</v>
      </c>
      <c r="P35" s="53" t="str">
        <f t="shared" si="9"/>
        <v>-</v>
      </c>
      <c r="Q35" s="123" t="str">
        <f t="shared" si="3"/>
        <v>-</v>
      </c>
      <c r="R35" s="124" t="str">
        <f t="shared" si="10"/>
        <v>-</v>
      </c>
      <c r="S35" s="127">
        <f t="shared" si="4"/>
        <v>1</v>
      </c>
      <c r="T35" s="127">
        <f t="shared" si="5"/>
        <v>0</v>
      </c>
    </row>
    <row r="36" spans="1:20" ht="20.100000000000001" customHeight="1">
      <c r="A36" s="10">
        <v>63.7</v>
      </c>
      <c r="B36" s="120">
        <v>4.2</v>
      </c>
      <c r="C36" s="120">
        <v>17</v>
      </c>
      <c r="D36" s="44" t="s">
        <v>20</v>
      </c>
      <c r="E36" s="6" t="s">
        <v>22</v>
      </c>
      <c r="F36" s="6" t="s">
        <v>9</v>
      </c>
      <c r="G36" s="6" t="s">
        <v>187</v>
      </c>
      <c r="H36" s="48"/>
      <c r="I36" s="50" t="str">
        <f t="shared" si="22"/>
        <v>ＳＵＳ製床吊型側溝流入</v>
      </c>
      <c r="J36" s="51">
        <f t="shared" si="0"/>
        <v>0</v>
      </c>
      <c r="K36" s="51" t="str">
        <f t="shared" si="6"/>
        <v>-</v>
      </c>
      <c r="L36" s="52" t="str">
        <f t="shared" si="32"/>
        <v>-</v>
      </c>
      <c r="M36" s="53" t="str">
        <f t="shared" si="7"/>
        <v>-</v>
      </c>
      <c r="N36" s="123" t="str">
        <f t="shared" si="2"/>
        <v>-</v>
      </c>
      <c r="O36" s="124" t="str">
        <f t="shared" si="8"/>
        <v>-</v>
      </c>
      <c r="P36" s="53" t="str">
        <f t="shared" si="9"/>
        <v>-</v>
      </c>
      <c r="Q36" s="123" t="str">
        <f t="shared" si="3"/>
        <v>-</v>
      </c>
      <c r="R36" s="124" t="str">
        <f t="shared" si="10"/>
        <v>-</v>
      </c>
      <c r="S36" s="127">
        <f t="shared" si="4"/>
        <v>1</v>
      </c>
      <c r="T36" s="127">
        <f t="shared" si="5"/>
        <v>0</v>
      </c>
    </row>
    <row r="37" spans="1:20" ht="20.100000000000001" customHeight="1">
      <c r="A37" s="10">
        <v>45</v>
      </c>
      <c r="B37" s="120">
        <v>3</v>
      </c>
      <c r="C37" s="120">
        <f t="shared" si="21"/>
        <v>12.0000000015</v>
      </c>
      <c r="D37" s="44" t="s">
        <v>20</v>
      </c>
      <c r="E37" s="6" t="s">
        <v>22</v>
      </c>
      <c r="F37" s="6" t="s">
        <v>9</v>
      </c>
      <c r="G37" s="6" t="s">
        <v>186</v>
      </c>
      <c r="H37" s="48"/>
      <c r="I37" s="50" t="str">
        <f t="shared" si="22"/>
        <v>ＳＵＳ製床吊型側溝流入</v>
      </c>
      <c r="J37" s="51">
        <f t="shared" ref="J37:J66" si="33">IF($I$3=I37,1,0)</f>
        <v>0</v>
      </c>
      <c r="K37" s="51" t="str">
        <f t="shared" si="6"/>
        <v>-</v>
      </c>
      <c r="L37" s="52" t="str">
        <f t="shared" si="32"/>
        <v>-</v>
      </c>
      <c r="M37" s="53" t="str">
        <f t="shared" si="7"/>
        <v>-</v>
      </c>
      <c r="N37" s="123" t="str">
        <f t="shared" si="2"/>
        <v>-</v>
      </c>
      <c r="O37" s="124" t="str">
        <f t="shared" si="8"/>
        <v>-</v>
      </c>
      <c r="P37" s="53" t="str">
        <f t="shared" si="9"/>
        <v>-</v>
      </c>
      <c r="Q37" s="123" t="str">
        <f t="shared" si="3"/>
        <v>-</v>
      </c>
      <c r="R37" s="124" t="str">
        <f t="shared" si="10"/>
        <v>-</v>
      </c>
      <c r="S37" s="127">
        <f t="shared" si="4"/>
        <v>1</v>
      </c>
      <c r="T37" s="127">
        <f t="shared" si="5"/>
        <v>0</v>
      </c>
    </row>
    <row r="38" spans="1:20" ht="20.100000000000001" customHeight="1">
      <c r="A38" s="219">
        <v>750</v>
      </c>
      <c r="B38" s="218">
        <v>50</v>
      </c>
      <c r="C38" s="218">
        <v>200.8</v>
      </c>
      <c r="D38" s="220" t="s">
        <v>20</v>
      </c>
      <c r="E38" s="7" t="s">
        <v>21</v>
      </c>
      <c r="F38" s="7" t="s">
        <v>8</v>
      </c>
      <c r="G38" s="221" t="s">
        <v>205</v>
      </c>
      <c r="H38" s="48"/>
      <c r="I38" s="50" t="str">
        <f>CONCATENATE(D38,E38,F38)</f>
        <v>ＳＵＳ製地中埋設型パイプ流入</v>
      </c>
      <c r="J38" s="51">
        <f t="shared" si="33"/>
        <v>0</v>
      </c>
      <c r="K38" s="51" t="str">
        <f>IF(J38=1, A38,"-")</f>
        <v>-</v>
      </c>
      <c r="L38" s="52" t="str">
        <f>IF(K38&gt;=$K$3,K38,"-")</f>
        <v>-</v>
      </c>
      <c r="M38" s="53" t="str">
        <f>IF($J38=1,B38, "-")</f>
        <v>-</v>
      </c>
      <c r="N38" s="123" t="str">
        <f>IF(M38&gt;=M$3,M38,"-")</f>
        <v>-</v>
      </c>
      <c r="O38" s="124" t="str">
        <f>IF(N38="-","-",$A38)</f>
        <v>-</v>
      </c>
      <c r="P38" s="53" t="str">
        <f>IF($J38=1,C38, "-")</f>
        <v>-</v>
      </c>
      <c r="Q38" s="123" t="str">
        <f>IF(P38&gt;=P$3,P38,"-")</f>
        <v>-</v>
      </c>
      <c r="R38" s="124" t="str">
        <f>IF(Q38="-","-",$A38)</f>
        <v>-</v>
      </c>
      <c r="S38" s="127">
        <f>IF($S$70=K38,1,0)</f>
        <v>1</v>
      </c>
      <c r="T38" s="127">
        <f>IF($S$68=0,0,S38)</f>
        <v>0</v>
      </c>
    </row>
    <row r="39" spans="1:20" ht="20.100000000000001" customHeight="1">
      <c r="A39" s="219">
        <v>600</v>
      </c>
      <c r="B39" s="218">
        <v>40</v>
      </c>
      <c r="C39" s="218">
        <v>160.6</v>
      </c>
      <c r="D39" s="220" t="s">
        <v>20</v>
      </c>
      <c r="E39" s="7" t="s">
        <v>21</v>
      </c>
      <c r="F39" s="7" t="s">
        <v>8</v>
      </c>
      <c r="G39" s="221" t="s">
        <v>204</v>
      </c>
      <c r="H39" s="48"/>
      <c r="I39" s="50" t="str">
        <f>CONCATENATE(D39,E39,F39)</f>
        <v>ＳＵＳ製地中埋設型パイプ流入</v>
      </c>
      <c r="J39" s="51">
        <f t="shared" si="33"/>
        <v>0</v>
      </c>
      <c r="K39" s="51" t="str">
        <f>IF(J39=1, A39,"-")</f>
        <v>-</v>
      </c>
      <c r="L39" s="52" t="str">
        <f>IF(K39&gt;=$K$3,K39,"-")</f>
        <v>-</v>
      </c>
      <c r="M39" s="53" t="str">
        <f>IF($J39=1,B39, "-")</f>
        <v>-</v>
      </c>
      <c r="N39" s="123" t="str">
        <f>IF(M39&gt;=M$3,M39,"-")</f>
        <v>-</v>
      </c>
      <c r="O39" s="124" t="str">
        <f>IF(N39="-","-",$A39)</f>
        <v>-</v>
      </c>
      <c r="P39" s="53" t="str">
        <f>IF($J39=1,C39, "-")</f>
        <v>-</v>
      </c>
      <c r="Q39" s="123" t="str">
        <f>IF(P39&gt;=P$3,P39,"-")</f>
        <v>-</v>
      </c>
      <c r="R39" s="124" t="str">
        <f>IF(Q39="-","-",$A39)</f>
        <v>-</v>
      </c>
      <c r="S39" s="127">
        <f>IF($S$70=K39,1,0)</f>
        <v>1</v>
      </c>
      <c r="T39" s="127">
        <f>IF($S$68=0,0,S39)</f>
        <v>0</v>
      </c>
    </row>
    <row r="40" spans="1:20" ht="20.100000000000001" customHeight="1">
      <c r="A40" s="239">
        <v>375</v>
      </c>
      <c r="B40" s="240">
        <v>25</v>
      </c>
      <c r="C40" s="240">
        <v>100.4</v>
      </c>
      <c r="D40" s="220" t="s">
        <v>20</v>
      </c>
      <c r="E40" s="7" t="s">
        <v>21</v>
      </c>
      <c r="F40" s="7" t="s">
        <v>8</v>
      </c>
      <c r="G40" s="241" t="s">
        <v>232</v>
      </c>
      <c r="H40" s="48"/>
      <c r="I40" s="50" t="str">
        <f t="shared" ref="I40:I48" si="34">CONCATENATE(D40,E40,F40)</f>
        <v>ＳＵＳ製地中埋設型パイプ流入</v>
      </c>
      <c r="J40" s="51">
        <f t="shared" si="33"/>
        <v>0</v>
      </c>
      <c r="K40" s="51" t="str">
        <f t="shared" ref="K40:K48" si="35">IF(J40=1, A40,"-")</f>
        <v>-</v>
      </c>
      <c r="L40" s="52" t="str">
        <f t="shared" ref="L40:L48" si="36">IF(K40&gt;=$K$3,K40,"-")</f>
        <v>-</v>
      </c>
      <c r="M40" s="53" t="str">
        <f t="shared" ref="M40:M48" si="37">IF($J40=1,B40, "-")</f>
        <v>-</v>
      </c>
      <c r="N40" s="123" t="str">
        <f t="shared" ref="N40:N48" si="38">IF(M40&gt;=M$3,M40,"-")</f>
        <v>-</v>
      </c>
      <c r="O40" s="124" t="str">
        <f t="shared" ref="O40:O48" si="39">IF(N40="-","-",$A40)</f>
        <v>-</v>
      </c>
      <c r="P40" s="53" t="str">
        <f t="shared" ref="P40:P48" si="40">IF($J40=1,C40, "-")</f>
        <v>-</v>
      </c>
      <c r="Q40" s="123" t="str">
        <f t="shared" ref="Q40:Q48" si="41">IF(P40&gt;=P$3,P40,"-")</f>
        <v>-</v>
      </c>
      <c r="R40" s="124" t="str">
        <f t="shared" ref="R40:R48" si="42">IF(Q40="-","-",$A40)</f>
        <v>-</v>
      </c>
      <c r="S40" s="127">
        <f t="shared" ref="S40:S66" si="43">IF($S$70=K40,1,0)</f>
        <v>1</v>
      </c>
      <c r="T40" s="127">
        <f t="shared" ref="T40:T66" si="44">IF($S$68=0,0,S40)</f>
        <v>0</v>
      </c>
    </row>
    <row r="41" spans="1:20" ht="20.100000000000001" customHeight="1">
      <c r="A41" s="219">
        <v>300</v>
      </c>
      <c r="B41" s="218">
        <v>20</v>
      </c>
      <c r="C41" s="218">
        <v>80.3</v>
      </c>
      <c r="D41" s="220" t="s">
        <v>20</v>
      </c>
      <c r="E41" s="7" t="s">
        <v>21</v>
      </c>
      <c r="F41" s="7" t="s">
        <v>8</v>
      </c>
      <c r="G41" s="221" t="s">
        <v>43</v>
      </c>
      <c r="H41" s="48"/>
      <c r="I41" s="50" t="str">
        <f t="shared" si="34"/>
        <v>ＳＵＳ製地中埋設型パイプ流入</v>
      </c>
      <c r="J41" s="51">
        <f t="shared" si="33"/>
        <v>0</v>
      </c>
      <c r="K41" s="51" t="str">
        <f t="shared" si="35"/>
        <v>-</v>
      </c>
      <c r="L41" s="52" t="str">
        <f t="shared" si="36"/>
        <v>-</v>
      </c>
      <c r="M41" s="53" t="str">
        <f t="shared" si="37"/>
        <v>-</v>
      </c>
      <c r="N41" s="123" t="str">
        <f t="shared" si="38"/>
        <v>-</v>
      </c>
      <c r="O41" s="124" t="str">
        <f t="shared" si="39"/>
        <v>-</v>
      </c>
      <c r="P41" s="53" t="str">
        <f t="shared" si="40"/>
        <v>-</v>
      </c>
      <c r="Q41" s="123" t="str">
        <f t="shared" si="41"/>
        <v>-</v>
      </c>
      <c r="R41" s="124" t="str">
        <f t="shared" si="42"/>
        <v>-</v>
      </c>
      <c r="S41" s="127">
        <f t="shared" si="43"/>
        <v>1</v>
      </c>
      <c r="T41" s="127">
        <f t="shared" si="44"/>
        <v>0</v>
      </c>
    </row>
    <row r="42" spans="1:20" ht="20.100000000000001" customHeight="1">
      <c r="A42" s="219">
        <v>191.2</v>
      </c>
      <c r="B42" s="218">
        <v>12.7</v>
      </c>
      <c r="C42" s="218">
        <v>51.1</v>
      </c>
      <c r="D42" s="220" t="s">
        <v>20</v>
      </c>
      <c r="E42" s="7" t="s">
        <v>21</v>
      </c>
      <c r="F42" s="7" t="s">
        <v>8</v>
      </c>
      <c r="G42" s="221" t="s">
        <v>203</v>
      </c>
      <c r="H42" s="48"/>
      <c r="I42" s="50" t="str">
        <f t="shared" si="34"/>
        <v>ＳＵＳ製地中埋設型パイプ流入</v>
      </c>
      <c r="J42" s="51">
        <f t="shared" si="33"/>
        <v>0</v>
      </c>
      <c r="K42" s="51" t="str">
        <f t="shared" si="35"/>
        <v>-</v>
      </c>
      <c r="L42" s="52" t="str">
        <f t="shared" si="36"/>
        <v>-</v>
      </c>
      <c r="M42" s="53" t="str">
        <f t="shared" si="37"/>
        <v>-</v>
      </c>
      <c r="N42" s="123" t="str">
        <f t="shared" si="38"/>
        <v>-</v>
      </c>
      <c r="O42" s="124" t="str">
        <f t="shared" si="39"/>
        <v>-</v>
      </c>
      <c r="P42" s="53" t="str">
        <f t="shared" si="40"/>
        <v>-</v>
      </c>
      <c r="Q42" s="123" t="str">
        <f t="shared" si="41"/>
        <v>-</v>
      </c>
      <c r="R42" s="124" t="str">
        <f t="shared" si="42"/>
        <v>-</v>
      </c>
      <c r="S42" s="127">
        <f t="shared" si="43"/>
        <v>1</v>
      </c>
      <c r="T42" s="127">
        <f t="shared" si="44"/>
        <v>0</v>
      </c>
    </row>
    <row r="43" spans="1:20" ht="20.100000000000001" customHeight="1">
      <c r="A43" s="219">
        <v>150</v>
      </c>
      <c r="B43" s="218">
        <v>10</v>
      </c>
      <c r="C43" s="218">
        <v>40.1</v>
      </c>
      <c r="D43" s="220" t="s">
        <v>20</v>
      </c>
      <c r="E43" s="7" t="s">
        <v>21</v>
      </c>
      <c r="F43" s="7" t="s">
        <v>8</v>
      </c>
      <c r="G43" s="221" t="s">
        <v>44</v>
      </c>
      <c r="H43" s="48"/>
      <c r="I43" s="50" t="str">
        <f t="shared" si="34"/>
        <v>ＳＵＳ製地中埋設型パイプ流入</v>
      </c>
      <c r="J43" s="51">
        <f t="shared" si="33"/>
        <v>0</v>
      </c>
      <c r="K43" s="51" t="str">
        <f t="shared" si="35"/>
        <v>-</v>
      </c>
      <c r="L43" s="52" t="str">
        <f t="shared" si="36"/>
        <v>-</v>
      </c>
      <c r="M43" s="53" t="str">
        <f t="shared" si="37"/>
        <v>-</v>
      </c>
      <c r="N43" s="123" t="str">
        <f t="shared" si="38"/>
        <v>-</v>
      </c>
      <c r="O43" s="124" t="str">
        <f t="shared" si="39"/>
        <v>-</v>
      </c>
      <c r="P43" s="53" t="str">
        <f t="shared" si="40"/>
        <v>-</v>
      </c>
      <c r="Q43" s="123" t="str">
        <f t="shared" si="41"/>
        <v>-</v>
      </c>
      <c r="R43" s="124" t="str">
        <f t="shared" si="42"/>
        <v>-</v>
      </c>
      <c r="S43" s="127">
        <f t="shared" si="43"/>
        <v>1</v>
      </c>
      <c r="T43" s="127">
        <f t="shared" si="44"/>
        <v>0</v>
      </c>
    </row>
    <row r="44" spans="1:20" ht="20.100000000000001" customHeight="1">
      <c r="A44" s="219">
        <v>131.19999999999999</v>
      </c>
      <c r="B44" s="218">
        <v>8.6999999999999993</v>
      </c>
      <c r="C44" s="218">
        <v>35.1</v>
      </c>
      <c r="D44" s="220" t="s">
        <v>20</v>
      </c>
      <c r="E44" s="7" t="s">
        <v>21</v>
      </c>
      <c r="F44" s="7" t="s">
        <v>8</v>
      </c>
      <c r="G44" s="221" t="s">
        <v>202</v>
      </c>
      <c r="H44" s="48"/>
      <c r="I44" s="50" t="str">
        <f t="shared" si="34"/>
        <v>ＳＵＳ製地中埋設型パイプ流入</v>
      </c>
      <c r="J44" s="51">
        <f t="shared" si="33"/>
        <v>0</v>
      </c>
      <c r="K44" s="51" t="str">
        <f t="shared" si="35"/>
        <v>-</v>
      </c>
      <c r="L44" s="52" t="str">
        <f t="shared" si="36"/>
        <v>-</v>
      </c>
      <c r="M44" s="53" t="str">
        <f t="shared" si="37"/>
        <v>-</v>
      </c>
      <c r="N44" s="123" t="str">
        <f t="shared" si="38"/>
        <v>-</v>
      </c>
      <c r="O44" s="124" t="str">
        <f t="shared" si="39"/>
        <v>-</v>
      </c>
      <c r="P44" s="53" t="str">
        <f t="shared" si="40"/>
        <v>-</v>
      </c>
      <c r="Q44" s="123" t="str">
        <f t="shared" si="41"/>
        <v>-</v>
      </c>
      <c r="R44" s="124" t="str">
        <f t="shared" si="42"/>
        <v>-</v>
      </c>
      <c r="S44" s="127">
        <f t="shared" si="43"/>
        <v>1</v>
      </c>
      <c r="T44" s="127">
        <f t="shared" si="44"/>
        <v>0</v>
      </c>
    </row>
    <row r="45" spans="1:20" ht="20.100000000000001" customHeight="1">
      <c r="A45" s="219">
        <v>120</v>
      </c>
      <c r="B45" s="218">
        <v>8</v>
      </c>
      <c r="C45" s="218">
        <v>32.1</v>
      </c>
      <c r="D45" s="220" t="s">
        <v>20</v>
      </c>
      <c r="E45" s="7" t="s">
        <v>21</v>
      </c>
      <c r="F45" s="7" t="s">
        <v>8</v>
      </c>
      <c r="G45" s="221" t="s">
        <v>201</v>
      </c>
      <c r="H45" s="48"/>
      <c r="I45" s="50" t="str">
        <f t="shared" si="34"/>
        <v>ＳＵＳ製地中埋設型パイプ流入</v>
      </c>
      <c r="J45" s="51">
        <f t="shared" si="33"/>
        <v>0</v>
      </c>
      <c r="K45" s="51" t="str">
        <f t="shared" si="35"/>
        <v>-</v>
      </c>
      <c r="L45" s="52" t="str">
        <f t="shared" si="36"/>
        <v>-</v>
      </c>
      <c r="M45" s="53" t="str">
        <f t="shared" si="37"/>
        <v>-</v>
      </c>
      <c r="N45" s="123" t="str">
        <f t="shared" si="38"/>
        <v>-</v>
      </c>
      <c r="O45" s="124" t="str">
        <f t="shared" si="39"/>
        <v>-</v>
      </c>
      <c r="P45" s="53" t="str">
        <f t="shared" si="40"/>
        <v>-</v>
      </c>
      <c r="Q45" s="123" t="str">
        <f t="shared" si="41"/>
        <v>-</v>
      </c>
      <c r="R45" s="124" t="str">
        <f t="shared" si="42"/>
        <v>-</v>
      </c>
      <c r="S45" s="127">
        <f t="shared" si="43"/>
        <v>1</v>
      </c>
      <c r="T45" s="127">
        <f t="shared" si="44"/>
        <v>0</v>
      </c>
    </row>
    <row r="46" spans="1:20" ht="20.100000000000001" customHeight="1">
      <c r="A46" s="219">
        <v>82.5</v>
      </c>
      <c r="B46" s="218">
        <v>5.5</v>
      </c>
      <c r="C46" s="218">
        <f>A46*0.2666666667</f>
        <v>22.000000002749999</v>
      </c>
      <c r="D46" s="220" t="s">
        <v>20</v>
      </c>
      <c r="E46" s="7" t="s">
        <v>21</v>
      </c>
      <c r="F46" s="7" t="s">
        <v>8</v>
      </c>
      <c r="G46" s="221" t="s">
        <v>200</v>
      </c>
      <c r="H46" s="48"/>
      <c r="I46" s="50" t="str">
        <f t="shared" si="34"/>
        <v>ＳＵＳ製地中埋設型パイプ流入</v>
      </c>
      <c r="J46" s="51">
        <f t="shared" si="33"/>
        <v>0</v>
      </c>
      <c r="K46" s="51" t="str">
        <f t="shared" si="35"/>
        <v>-</v>
      </c>
      <c r="L46" s="52" t="str">
        <f t="shared" si="36"/>
        <v>-</v>
      </c>
      <c r="M46" s="53" t="str">
        <f t="shared" si="37"/>
        <v>-</v>
      </c>
      <c r="N46" s="123" t="str">
        <f t="shared" si="38"/>
        <v>-</v>
      </c>
      <c r="O46" s="124" t="str">
        <f t="shared" si="39"/>
        <v>-</v>
      </c>
      <c r="P46" s="53" t="str">
        <f t="shared" si="40"/>
        <v>-</v>
      </c>
      <c r="Q46" s="123" t="str">
        <f t="shared" si="41"/>
        <v>-</v>
      </c>
      <c r="R46" s="124" t="str">
        <f t="shared" si="42"/>
        <v>-</v>
      </c>
      <c r="S46" s="127">
        <f t="shared" si="43"/>
        <v>1</v>
      </c>
      <c r="T46" s="127">
        <f t="shared" si="44"/>
        <v>0</v>
      </c>
    </row>
    <row r="47" spans="1:20" ht="20.100000000000001" customHeight="1">
      <c r="A47" s="219">
        <v>63.7</v>
      </c>
      <c r="B47" s="218">
        <v>4.2</v>
      </c>
      <c r="C47" s="218">
        <v>17</v>
      </c>
      <c r="D47" s="220" t="s">
        <v>20</v>
      </c>
      <c r="E47" s="7" t="s">
        <v>21</v>
      </c>
      <c r="F47" s="7" t="s">
        <v>8</v>
      </c>
      <c r="G47" s="221" t="s">
        <v>199</v>
      </c>
      <c r="H47" s="48"/>
      <c r="I47" s="50" t="str">
        <f t="shared" si="34"/>
        <v>ＳＵＳ製地中埋設型パイプ流入</v>
      </c>
      <c r="J47" s="51">
        <f t="shared" si="33"/>
        <v>0</v>
      </c>
      <c r="K47" s="51" t="str">
        <f t="shared" si="35"/>
        <v>-</v>
      </c>
      <c r="L47" s="52" t="str">
        <f t="shared" si="36"/>
        <v>-</v>
      </c>
      <c r="M47" s="53" t="str">
        <f t="shared" si="37"/>
        <v>-</v>
      </c>
      <c r="N47" s="123" t="str">
        <f t="shared" si="38"/>
        <v>-</v>
      </c>
      <c r="O47" s="124" t="str">
        <f t="shared" si="39"/>
        <v>-</v>
      </c>
      <c r="P47" s="53" t="str">
        <f t="shared" si="40"/>
        <v>-</v>
      </c>
      <c r="Q47" s="123" t="str">
        <f t="shared" si="41"/>
        <v>-</v>
      </c>
      <c r="R47" s="124" t="str">
        <f t="shared" si="42"/>
        <v>-</v>
      </c>
      <c r="S47" s="127">
        <f t="shared" si="43"/>
        <v>1</v>
      </c>
      <c r="T47" s="127">
        <f t="shared" si="44"/>
        <v>0</v>
      </c>
    </row>
    <row r="48" spans="1:20" ht="20.100000000000001" customHeight="1">
      <c r="A48" s="219">
        <v>45</v>
      </c>
      <c r="B48" s="218">
        <v>3</v>
      </c>
      <c r="C48" s="218">
        <f>A48*0.2666666667</f>
        <v>12.0000000015</v>
      </c>
      <c r="D48" s="220" t="s">
        <v>20</v>
      </c>
      <c r="E48" s="7" t="s">
        <v>21</v>
      </c>
      <c r="F48" s="7" t="s">
        <v>8</v>
      </c>
      <c r="G48" s="221" t="s">
        <v>198</v>
      </c>
      <c r="H48" s="48"/>
      <c r="I48" s="50" t="str">
        <f t="shared" si="34"/>
        <v>ＳＵＳ製地中埋設型パイプ流入</v>
      </c>
      <c r="J48" s="51">
        <f t="shared" si="33"/>
        <v>0</v>
      </c>
      <c r="K48" s="51" t="str">
        <f t="shared" si="35"/>
        <v>-</v>
      </c>
      <c r="L48" s="52" t="str">
        <f t="shared" si="36"/>
        <v>-</v>
      </c>
      <c r="M48" s="53" t="str">
        <f t="shared" si="37"/>
        <v>-</v>
      </c>
      <c r="N48" s="123" t="str">
        <f t="shared" si="38"/>
        <v>-</v>
      </c>
      <c r="O48" s="124" t="str">
        <f t="shared" si="39"/>
        <v>-</v>
      </c>
      <c r="P48" s="53" t="str">
        <f t="shared" si="40"/>
        <v>-</v>
      </c>
      <c r="Q48" s="123" t="str">
        <f t="shared" si="41"/>
        <v>-</v>
      </c>
      <c r="R48" s="124" t="str">
        <f t="shared" si="42"/>
        <v>-</v>
      </c>
      <c r="S48" s="127">
        <f t="shared" si="43"/>
        <v>1</v>
      </c>
      <c r="T48" s="127">
        <f t="shared" si="44"/>
        <v>0</v>
      </c>
    </row>
    <row r="49" spans="1:20" ht="20.100000000000001" customHeight="1">
      <c r="A49" s="239">
        <v>375</v>
      </c>
      <c r="B49" s="240">
        <v>25</v>
      </c>
      <c r="C49" s="240">
        <v>100.4</v>
      </c>
      <c r="D49" s="220" t="s">
        <v>20</v>
      </c>
      <c r="E49" s="7" t="s">
        <v>21</v>
      </c>
      <c r="F49" s="221" t="s">
        <v>9</v>
      </c>
      <c r="G49" s="241" t="s">
        <v>234</v>
      </c>
      <c r="H49" s="48"/>
      <c r="I49" s="50" t="str">
        <f t="shared" ref="I49:I56" si="45">CONCATENATE(D49,E49,F49)</f>
        <v>ＳＵＳ製地中埋設型側溝流入</v>
      </c>
      <c r="J49" s="51">
        <f t="shared" si="33"/>
        <v>0</v>
      </c>
      <c r="K49" s="51" t="str">
        <f t="shared" ref="K49:K56" si="46">IF(J49=1, A49,"-")</f>
        <v>-</v>
      </c>
      <c r="L49" s="52" t="str">
        <f t="shared" ref="L49:L56" si="47">IF(K49&gt;=$K$3,K49,"-")</f>
        <v>-</v>
      </c>
      <c r="M49" s="53" t="str">
        <f t="shared" ref="M49:M56" si="48">IF($J49=1,B49, "-")</f>
        <v>-</v>
      </c>
      <c r="N49" s="123" t="str">
        <f t="shared" ref="N49:N56" si="49">IF(M49&gt;=M$3,M49,"-")</f>
        <v>-</v>
      </c>
      <c r="O49" s="124" t="str">
        <f t="shared" ref="O49:O56" si="50">IF(N49="-","-",$A49)</f>
        <v>-</v>
      </c>
      <c r="P49" s="53" t="str">
        <f t="shared" ref="P49:P56" si="51">IF($J49=1,C49, "-")</f>
        <v>-</v>
      </c>
      <c r="Q49" s="123" t="str">
        <f t="shared" ref="Q49:Q56" si="52">IF(P49&gt;=P$3,P49,"-")</f>
        <v>-</v>
      </c>
      <c r="R49" s="124" t="str">
        <f t="shared" ref="R49:R56" si="53">IF(Q49="-","-",$A49)</f>
        <v>-</v>
      </c>
      <c r="S49" s="127">
        <f t="shared" si="43"/>
        <v>1</v>
      </c>
      <c r="T49" s="127">
        <f t="shared" si="44"/>
        <v>0</v>
      </c>
    </row>
    <row r="50" spans="1:20" ht="20.100000000000001" customHeight="1">
      <c r="A50" s="219">
        <v>300</v>
      </c>
      <c r="B50" s="218">
        <v>20</v>
      </c>
      <c r="C50" s="218">
        <v>80.3</v>
      </c>
      <c r="D50" s="220" t="s">
        <v>20</v>
      </c>
      <c r="E50" s="7" t="s">
        <v>21</v>
      </c>
      <c r="F50" s="221" t="s">
        <v>9</v>
      </c>
      <c r="G50" s="221" t="s">
        <v>45</v>
      </c>
      <c r="H50" s="48"/>
      <c r="I50" s="50" t="str">
        <f t="shared" si="45"/>
        <v>ＳＵＳ製地中埋設型側溝流入</v>
      </c>
      <c r="J50" s="51">
        <f t="shared" si="33"/>
        <v>0</v>
      </c>
      <c r="K50" s="51" t="str">
        <f t="shared" si="46"/>
        <v>-</v>
      </c>
      <c r="L50" s="52" t="str">
        <f t="shared" si="47"/>
        <v>-</v>
      </c>
      <c r="M50" s="53" t="str">
        <f t="shared" si="48"/>
        <v>-</v>
      </c>
      <c r="N50" s="123" t="str">
        <f t="shared" si="49"/>
        <v>-</v>
      </c>
      <c r="O50" s="124" t="str">
        <f t="shared" si="50"/>
        <v>-</v>
      </c>
      <c r="P50" s="53" t="str">
        <f t="shared" si="51"/>
        <v>-</v>
      </c>
      <c r="Q50" s="123" t="str">
        <f t="shared" si="52"/>
        <v>-</v>
      </c>
      <c r="R50" s="124" t="str">
        <f t="shared" si="53"/>
        <v>-</v>
      </c>
      <c r="S50" s="127">
        <f t="shared" si="43"/>
        <v>1</v>
      </c>
      <c r="T50" s="127">
        <f t="shared" si="44"/>
        <v>0</v>
      </c>
    </row>
    <row r="51" spans="1:20" ht="20.100000000000001" customHeight="1">
      <c r="A51" s="219">
        <v>191.2</v>
      </c>
      <c r="B51" s="218">
        <v>12.7</v>
      </c>
      <c r="C51" s="218">
        <v>51.1</v>
      </c>
      <c r="D51" s="220" t="s">
        <v>20</v>
      </c>
      <c r="E51" s="7" t="s">
        <v>21</v>
      </c>
      <c r="F51" s="221" t="s">
        <v>9</v>
      </c>
      <c r="G51" s="221" t="s">
        <v>206</v>
      </c>
      <c r="H51" s="48"/>
      <c r="I51" s="50" t="str">
        <f t="shared" si="45"/>
        <v>ＳＵＳ製地中埋設型側溝流入</v>
      </c>
      <c r="J51" s="51">
        <f t="shared" si="33"/>
        <v>0</v>
      </c>
      <c r="K51" s="51" t="str">
        <f t="shared" si="46"/>
        <v>-</v>
      </c>
      <c r="L51" s="52" t="str">
        <f t="shared" si="47"/>
        <v>-</v>
      </c>
      <c r="M51" s="53" t="str">
        <f t="shared" si="48"/>
        <v>-</v>
      </c>
      <c r="N51" s="123" t="str">
        <f t="shared" si="49"/>
        <v>-</v>
      </c>
      <c r="O51" s="124" t="str">
        <f t="shared" si="50"/>
        <v>-</v>
      </c>
      <c r="P51" s="53" t="str">
        <f t="shared" si="51"/>
        <v>-</v>
      </c>
      <c r="Q51" s="123" t="str">
        <f t="shared" si="52"/>
        <v>-</v>
      </c>
      <c r="R51" s="124" t="str">
        <f t="shared" si="53"/>
        <v>-</v>
      </c>
      <c r="S51" s="127">
        <f t="shared" si="43"/>
        <v>1</v>
      </c>
      <c r="T51" s="127">
        <f t="shared" si="44"/>
        <v>0</v>
      </c>
    </row>
    <row r="52" spans="1:20" ht="20.100000000000001" customHeight="1">
      <c r="A52" s="219">
        <v>150</v>
      </c>
      <c r="B52" s="218">
        <v>10</v>
      </c>
      <c r="C52" s="218">
        <v>40.1</v>
      </c>
      <c r="D52" s="220" t="s">
        <v>20</v>
      </c>
      <c r="E52" s="7" t="s">
        <v>21</v>
      </c>
      <c r="F52" s="221" t="s">
        <v>9</v>
      </c>
      <c r="G52" s="221" t="s">
        <v>46</v>
      </c>
      <c r="H52" s="48"/>
      <c r="I52" s="50" t="str">
        <f t="shared" si="45"/>
        <v>ＳＵＳ製地中埋設型側溝流入</v>
      </c>
      <c r="J52" s="51">
        <f t="shared" si="33"/>
        <v>0</v>
      </c>
      <c r="K52" s="51" t="str">
        <f t="shared" si="46"/>
        <v>-</v>
      </c>
      <c r="L52" s="52" t="str">
        <f t="shared" si="47"/>
        <v>-</v>
      </c>
      <c r="M52" s="53" t="str">
        <f t="shared" si="48"/>
        <v>-</v>
      </c>
      <c r="N52" s="123" t="str">
        <f t="shared" si="49"/>
        <v>-</v>
      </c>
      <c r="O52" s="124" t="str">
        <f t="shared" si="50"/>
        <v>-</v>
      </c>
      <c r="P52" s="53" t="str">
        <f t="shared" si="51"/>
        <v>-</v>
      </c>
      <c r="Q52" s="123" t="str">
        <f t="shared" si="52"/>
        <v>-</v>
      </c>
      <c r="R52" s="124" t="str">
        <f t="shared" si="53"/>
        <v>-</v>
      </c>
      <c r="S52" s="127">
        <f t="shared" si="43"/>
        <v>1</v>
      </c>
      <c r="T52" s="127">
        <f t="shared" si="44"/>
        <v>0</v>
      </c>
    </row>
    <row r="53" spans="1:20" ht="20.100000000000001" customHeight="1">
      <c r="A53" s="219">
        <v>131.19999999999999</v>
      </c>
      <c r="B53" s="218">
        <v>8.6999999999999993</v>
      </c>
      <c r="C53" s="218">
        <v>35.1</v>
      </c>
      <c r="D53" s="220" t="s">
        <v>20</v>
      </c>
      <c r="E53" s="7" t="s">
        <v>21</v>
      </c>
      <c r="F53" s="221" t="s">
        <v>9</v>
      </c>
      <c r="G53" s="221" t="s">
        <v>207</v>
      </c>
      <c r="H53" s="48"/>
      <c r="I53" s="50" t="str">
        <f t="shared" si="45"/>
        <v>ＳＵＳ製地中埋設型側溝流入</v>
      </c>
      <c r="J53" s="51">
        <f t="shared" si="33"/>
        <v>0</v>
      </c>
      <c r="K53" s="51" t="str">
        <f t="shared" si="46"/>
        <v>-</v>
      </c>
      <c r="L53" s="52" t="str">
        <f t="shared" si="47"/>
        <v>-</v>
      </c>
      <c r="M53" s="53" t="str">
        <f t="shared" si="48"/>
        <v>-</v>
      </c>
      <c r="N53" s="123" t="str">
        <f t="shared" si="49"/>
        <v>-</v>
      </c>
      <c r="O53" s="124" t="str">
        <f t="shared" si="50"/>
        <v>-</v>
      </c>
      <c r="P53" s="53" t="str">
        <f t="shared" si="51"/>
        <v>-</v>
      </c>
      <c r="Q53" s="123" t="str">
        <f t="shared" si="52"/>
        <v>-</v>
      </c>
      <c r="R53" s="124" t="str">
        <f t="shared" si="53"/>
        <v>-</v>
      </c>
      <c r="S53" s="127">
        <f t="shared" si="43"/>
        <v>1</v>
      </c>
      <c r="T53" s="127">
        <f t="shared" si="44"/>
        <v>0</v>
      </c>
    </row>
    <row r="54" spans="1:20" ht="20.100000000000001" customHeight="1">
      <c r="A54" s="219">
        <v>120</v>
      </c>
      <c r="B54" s="218">
        <v>8</v>
      </c>
      <c r="C54" s="218">
        <v>32.1</v>
      </c>
      <c r="D54" s="220" t="s">
        <v>20</v>
      </c>
      <c r="E54" s="7" t="s">
        <v>21</v>
      </c>
      <c r="F54" s="221" t="s">
        <v>9</v>
      </c>
      <c r="G54" s="221" t="s">
        <v>208</v>
      </c>
      <c r="H54" s="48"/>
      <c r="I54" s="50" t="str">
        <f t="shared" si="45"/>
        <v>ＳＵＳ製地中埋設型側溝流入</v>
      </c>
      <c r="J54" s="51">
        <f t="shared" si="33"/>
        <v>0</v>
      </c>
      <c r="K54" s="51" t="str">
        <f t="shared" si="46"/>
        <v>-</v>
      </c>
      <c r="L54" s="52" t="str">
        <f t="shared" si="47"/>
        <v>-</v>
      </c>
      <c r="M54" s="53" t="str">
        <f t="shared" si="48"/>
        <v>-</v>
      </c>
      <c r="N54" s="123" t="str">
        <f t="shared" si="49"/>
        <v>-</v>
      </c>
      <c r="O54" s="124" t="str">
        <f t="shared" si="50"/>
        <v>-</v>
      </c>
      <c r="P54" s="53" t="str">
        <f t="shared" si="51"/>
        <v>-</v>
      </c>
      <c r="Q54" s="123" t="str">
        <f t="shared" si="52"/>
        <v>-</v>
      </c>
      <c r="R54" s="124" t="str">
        <f t="shared" si="53"/>
        <v>-</v>
      </c>
      <c r="S54" s="127">
        <f t="shared" si="43"/>
        <v>1</v>
      </c>
      <c r="T54" s="127">
        <f t="shared" si="44"/>
        <v>0</v>
      </c>
    </row>
    <row r="55" spans="1:20" ht="20.100000000000001" customHeight="1">
      <c r="A55" s="219">
        <v>82.5</v>
      </c>
      <c r="B55" s="218">
        <v>5.5</v>
      </c>
      <c r="C55" s="218">
        <f>A55*0.2666666667</f>
        <v>22.000000002749999</v>
      </c>
      <c r="D55" s="220" t="s">
        <v>20</v>
      </c>
      <c r="E55" s="7" t="s">
        <v>21</v>
      </c>
      <c r="F55" s="221" t="s">
        <v>9</v>
      </c>
      <c r="G55" s="221" t="s">
        <v>209</v>
      </c>
      <c r="H55" s="48"/>
      <c r="I55" s="50" t="str">
        <f t="shared" si="45"/>
        <v>ＳＵＳ製地中埋設型側溝流入</v>
      </c>
      <c r="J55" s="51">
        <f t="shared" si="33"/>
        <v>0</v>
      </c>
      <c r="K55" s="51" t="str">
        <f t="shared" si="46"/>
        <v>-</v>
      </c>
      <c r="L55" s="52" t="str">
        <f t="shared" si="47"/>
        <v>-</v>
      </c>
      <c r="M55" s="53" t="str">
        <f t="shared" si="48"/>
        <v>-</v>
      </c>
      <c r="N55" s="123" t="str">
        <f t="shared" si="49"/>
        <v>-</v>
      </c>
      <c r="O55" s="124" t="str">
        <f t="shared" si="50"/>
        <v>-</v>
      </c>
      <c r="P55" s="53" t="str">
        <f t="shared" si="51"/>
        <v>-</v>
      </c>
      <c r="Q55" s="123" t="str">
        <f t="shared" si="52"/>
        <v>-</v>
      </c>
      <c r="R55" s="124" t="str">
        <f t="shared" si="53"/>
        <v>-</v>
      </c>
      <c r="S55" s="127">
        <f t="shared" si="43"/>
        <v>1</v>
      </c>
      <c r="T55" s="127">
        <f t="shared" si="44"/>
        <v>0</v>
      </c>
    </row>
    <row r="56" spans="1:20" ht="20.100000000000001" customHeight="1">
      <c r="A56" s="219">
        <v>63.7</v>
      </c>
      <c r="B56" s="218">
        <v>4.2</v>
      </c>
      <c r="C56" s="218">
        <v>17</v>
      </c>
      <c r="D56" s="220" t="s">
        <v>20</v>
      </c>
      <c r="E56" s="7" t="s">
        <v>21</v>
      </c>
      <c r="F56" s="221" t="s">
        <v>9</v>
      </c>
      <c r="G56" s="221" t="s">
        <v>210</v>
      </c>
      <c r="H56" s="48"/>
      <c r="I56" s="50" t="str">
        <f t="shared" si="45"/>
        <v>ＳＵＳ製地中埋設型側溝流入</v>
      </c>
      <c r="J56" s="51">
        <f t="shared" si="33"/>
        <v>0</v>
      </c>
      <c r="K56" s="51" t="str">
        <f t="shared" si="46"/>
        <v>-</v>
      </c>
      <c r="L56" s="52" t="str">
        <f t="shared" si="47"/>
        <v>-</v>
      </c>
      <c r="M56" s="53" t="str">
        <f t="shared" si="48"/>
        <v>-</v>
      </c>
      <c r="N56" s="123" t="str">
        <f t="shared" si="49"/>
        <v>-</v>
      </c>
      <c r="O56" s="124" t="str">
        <f t="shared" si="50"/>
        <v>-</v>
      </c>
      <c r="P56" s="53" t="str">
        <f t="shared" si="51"/>
        <v>-</v>
      </c>
      <c r="Q56" s="123" t="str">
        <f t="shared" si="52"/>
        <v>-</v>
      </c>
      <c r="R56" s="124" t="str">
        <f t="shared" si="53"/>
        <v>-</v>
      </c>
      <c r="S56" s="127">
        <f t="shared" si="43"/>
        <v>1</v>
      </c>
      <c r="T56" s="127">
        <f t="shared" si="44"/>
        <v>0</v>
      </c>
    </row>
    <row r="57" spans="1:20" ht="20.100000000000001" customHeight="1">
      <c r="A57" s="219">
        <v>45</v>
      </c>
      <c r="B57" s="218">
        <v>3</v>
      </c>
      <c r="C57" s="218">
        <f>A57*0.2666666667</f>
        <v>12.0000000015</v>
      </c>
      <c r="D57" s="220" t="s">
        <v>20</v>
      </c>
      <c r="E57" s="7" t="s">
        <v>21</v>
      </c>
      <c r="F57" s="221" t="s">
        <v>9</v>
      </c>
      <c r="G57" s="221" t="s">
        <v>211</v>
      </c>
      <c r="H57" s="48"/>
      <c r="I57" s="50" t="str">
        <f>CONCATENATE(D57,E57,F57)</f>
        <v>ＳＵＳ製地中埋設型側溝流入</v>
      </c>
      <c r="J57" s="51">
        <f t="shared" si="33"/>
        <v>0</v>
      </c>
      <c r="K57" s="51" t="str">
        <f>IF(J57=1, A57,"-")</f>
        <v>-</v>
      </c>
      <c r="L57" s="52" t="str">
        <f t="shared" ref="L57:L66" si="54">IF(K57&gt;=$K$3,K57,"-")</f>
        <v>-</v>
      </c>
      <c r="M57" s="53" t="str">
        <f>IF($J57=1,B57, "-")</f>
        <v>-</v>
      </c>
      <c r="N57" s="123" t="str">
        <f>IF(M57&gt;=M$3,M57,"-")</f>
        <v>-</v>
      </c>
      <c r="O57" s="124" t="str">
        <f>IF(N57="-","-",$A57)</f>
        <v>-</v>
      </c>
      <c r="P57" s="53" t="str">
        <f>IF($J57=1,C57, "-")</f>
        <v>-</v>
      </c>
      <c r="Q57" s="123" t="str">
        <f>IF(P57&gt;=P$3,P57,"-")</f>
        <v>-</v>
      </c>
      <c r="R57" s="124" t="str">
        <f>IF(Q57="-","-",$A57)</f>
        <v>-</v>
      </c>
      <c r="S57" s="127">
        <f t="shared" si="43"/>
        <v>1</v>
      </c>
      <c r="T57" s="127">
        <f t="shared" si="44"/>
        <v>0</v>
      </c>
    </row>
    <row r="58" spans="1:20" ht="20.100000000000001" customHeight="1">
      <c r="A58" s="237">
        <v>375</v>
      </c>
      <c r="B58" s="238">
        <v>25</v>
      </c>
      <c r="C58" s="238">
        <v>100.4</v>
      </c>
      <c r="D58" s="224" t="s">
        <v>20</v>
      </c>
      <c r="E58" s="225" t="s">
        <v>213</v>
      </c>
      <c r="F58" s="225" t="s">
        <v>8</v>
      </c>
      <c r="G58" s="243" t="s">
        <v>235</v>
      </c>
      <c r="H58" s="48"/>
      <c r="I58" s="50" t="str">
        <f t="shared" ref="I58:I66" si="55">CONCATENATE(D58,E58,F58)</f>
        <v>ＳＵＳ製床置型パイプ流入</v>
      </c>
      <c r="J58" s="51">
        <f t="shared" si="33"/>
        <v>0</v>
      </c>
      <c r="K58" s="51" t="str">
        <f t="shared" ref="K58:K66" si="56">IF(J58=1, A58,"-")</f>
        <v>-</v>
      </c>
      <c r="L58" s="52" t="str">
        <f t="shared" si="54"/>
        <v>-</v>
      </c>
      <c r="M58" s="53" t="str">
        <f t="shared" ref="M58:M66" si="57">IF($J58=1,B58, "-")</f>
        <v>-</v>
      </c>
      <c r="N58" s="123" t="str">
        <f t="shared" ref="N58:N66" si="58">IF(M58&gt;=M$3,M58,"-")</f>
        <v>-</v>
      </c>
      <c r="O58" s="124" t="str">
        <f t="shared" ref="O58:O66" si="59">IF(N58="-","-",$A58)</f>
        <v>-</v>
      </c>
      <c r="P58" s="53" t="str">
        <f t="shared" ref="P58:P66" si="60">IF($J58=1,C58, "-")</f>
        <v>-</v>
      </c>
      <c r="Q58" s="123" t="str">
        <f t="shared" ref="Q58:Q66" si="61">IF(P58&gt;=P$3,P58,"-")</f>
        <v>-</v>
      </c>
      <c r="R58" s="124" t="str">
        <f t="shared" ref="R58:R66" si="62">IF(Q58="-","-",$A58)</f>
        <v>-</v>
      </c>
      <c r="S58" s="127">
        <f t="shared" si="43"/>
        <v>1</v>
      </c>
      <c r="T58" s="127">
        <f t="shared" si="44"/>
        <v>0</v>
      </c>
    </row>
    <row r="59" spans="1:20" ht="20.100000000000001" customHeight="1">
      <c r="A59" s="223">
        <v>300</v>
      </c>
      <c r="B59" s="222">
        <v>20</v>
      </c>
      <c r="C59" s="222">
        <v>80.3</v>
      </c>
      <c r="D59" s="224" t="s">
        <v>20</v>
      </c>
      <c r="E59" s="225" t="s">
        <v>213</v>
      </c>
      <c r="F59" s="225" t="s">
        <v>8</v>
      </c>
      <c r="G59" s="225" t="s">
        <v>220</v>
      </c>
      <c r="H59" s="48"/>
      <c r="I59" s="50" t="str">
        <f t="shared" si="55"/>
        <v>ＳＵＳ製床置型パイプ流入</v>
      </c>
      <c r="J59" s="51">
        <f t="shared" si="33"/>
        <v>0</v>
      </c>
      <c r="K59" s="51" t="str">
        <f t="shared" si="56"/>
        <v>-</v>
      </c>
      <c r="L59" s="52" t="str">
        <f t="shared" si="54"/>
        <v>-</v>
      </c>
      <c r="M59" s="53" t="str">
        <f t="shared" si="57"/>
        <v>-</v>
      </c>
      <c r="N59" s="123" t="str">
        <f t="shared" si="58"/>
        <v>-</v>
      </c>
      <c r="O59" s="124" t="str">
        <f t="shared" si="59"/>
        <v>-</v>
      </c>
      <c r="P59" s="53" t="str">
        <f t="shared" si="60"/>
        <v>-</v>
      </c>
      <c r="Q59" s="123" t="str">
        <f t="shared" si="61"/>
        <v>-</v>
      </c>
      <c r="R59" s="124" t="str">
        <f t="shared" si="62"/>
        <v>-</v>
      </c>
      <c r="S59" s="127">
        <f t="shared" si="43"/>
        <v>1</v>
      </c>
      <c r="T59" s="127">
        <f t="shared" si="44"/>
        <v>0</v>
      </c>
    </row>
    <row r="60" spans="1:20" ht="20.100000000000001" customHeight="1">
      <c r="A60" s="223">
        <v>191.2</v>
      </c>
      <c r="B60" s="222">
        <v>12.7</v>
      </c>
      <c r="C60" s="222">
        <v>51.1</v>
      </c>
      <c r="D60" s="224" t="s">
        <v>20</v>
      </c>
      <c r="E60" s="225" t="s">
        <v>213</v>
      </c>
      <c r="F60" s="225" t="s">
        <v>8</v>
      </c>
      <c r="G60" s="225" t="s">
        <v>219</v>
      </c>
      <c r="H60" s="48"/>
      <c r="I60" s="50" t="str">
        <f t="shared" si="55"/>
        <v>ＳＵＳ製床置型パイプ流入</v>
      </c>
      <c r="J60" s="51">
        <f t="shared" si="33"/>
        <v>0</v>
      </c>
      <c r="K60" s="51" t="str">
        <f t="shared" si="56"/>
        <v>-</v>
      </c>
      <c r="L60" s="52" t="str">
        <f t="shared" si="54"/>
        <v>-</v>
      </c>
      <c r="M60" s="53" t="str">
        <f t="shared" si="57"/>
        <v>-</v>
      </c>
      <c r="N60" s="123" t="str">
        <f t="shared" si="58"/>
        <v>-</v>
      </c>
      <c r="O60" s="124" t="str">
        <f t="shared" si="59"/>
        <v>-</v>
      </c>
      <c r="P60" s="53" t="str">
        <f t="shared" si="60"/>
        <v>-</v>
      </c>
      <c r="Q60" s="123" t="str">
        <f t="shared" si="61"/>
        <v>-</v>
      </c>
      <c r="R60" s="124" t="str">
        <f t="shared" si="62"/>
        <v>-</v>
      </c>
      <c r="S60" s="127">
        <f t="shared" si="43"/>
        <v>1</v>
      </c>
      <c r="T60" s="127">
        <f t="shared" si="44"/>
        <v>0</v>
      </c>
    </row>
    <row r="61" spans="1:20" ht="20.100000000000001" customHeight="1">
      <c r="A61" s="223">
        <v>150</v>
      </c>
      <c r="B61" s="222">
        <v>10</v>
      </c>
      <c r="C61" s="222">
        <v>40.1</v>
      </c>
      <c r="D61" s="224" t="s">
        <v>20</v>
      </c>
      <c r="E61" s="225" t="s">
        <v>213</v>
      </c>
      <c r="F61" s="225" t="s">
        <v>8</v>
      </c>
      <c r="G61" s="225" t="s">
        <v>218</v>
      </c>
      <c r="H61" s="48"/>
      <c r="I61" s="50" t="str">
        <f t="shared" si="55"/>
        <v>ＳＵＳ製床置型パイプ流入</v>
      </c>
      <c r="J61" s="51">
        <f t="shared" si="33"/>
        <v>0</v>
      </c>
      <c r="K61" s="51" t="str">
        <f t="shared" si="56"/>
        <v>-</v>
      </c>
      <c r="L61" s="52" t="str">
        <f t="shared" si="54"/>
        <v>-</v>
      </c>
      <c r="M61" s="53" t="str">
        <f t="shared" si="57"/>
        <v>-</v>
      </c>
      <c r="N61" s="123" t="str">
        <f t="shared" si="58"/>
        <v>-</v>
      </c>
      <c r="O61" s="124" t="str">
        <f t="shared" si="59"/>
        <v>-</v>
      </c>
      <c r="P61" s="53" t="str">
        <f t="shared" si="60"/>
        <v>-</v>
      </c>
      <c r="Q61" s="123" t="str">
        <f t="shared" si="61"/>
        <v>-</v>
      </c>
      <c r="R61" s="124" t="str">
        <f t="shared" si="62"/>
        <v>-</v>
      </c>
      <c r="S61" s="127">
        <f t="shared" si="43"/>
        <v>1</v>
      </c>
      <c r="T61" s="127">
        <f t="shared" si="44"/>
        <v>0</v>
      </c>
    </row>
    <row r="62" spans="1:20" ht="20.100000000000001" customHeight="1">
      <c r="A62" s="223">
        <v>131.19999999999999</v>
      </c>
      <c r="B62" s="222">
        <v>8.6999999999999993</v>
      </c>
      <c r="C62" s="222">
        <v>35.1</v>
      </c>
      <c r="D62" s="224" t="s">
        <v>20</v>
      </c>
      <c r="E62" s="225" t="s">
        <v>213</v>
      </c>
      <c r="F62" s="225" t="s">
        <v>8</v>
      </c>
      <c r="G62" s="225" t="s">
        <v>217</v>
      </c>
      <c r="H62" s="48"/>
      <c r="I62" s="50" t="str">
        <f t="shared" si="55"/>
        <v>ＳＵＳ製床置型パイプ流入</v>
      </c>
      <c r="J62" s="51">
        <f t="shared" si="33"/>
        <v>0</v>
      </c>
      <c r="K62" s="51" t="str">
        <f t="shared" si="56"/>
        <v>-</v>
      </c>
      <c r="L62" s="52" t="str">
        <f t="shared" si="54"/>
        <v>-</v>
      </c>
      <c r="M62" s="53" t="str">
        <f t="shared" si="57"/>
        <v>-</v>
      </c>
      <c r="N62" s="123" t="str">
        <f t="shared" si="58"/>
        <v>-</v>
      </c>
      <c r="O62" s="124" t="str">
        <f t="shared" si="59"/>
        <v>-</v>
      </c>
      <c r="P62" s="53" t="str">
        <f t="shared" si="60"/>
        <v>-</v>
      </c>
      <c r="Q62" s="123" t="str">
        <f t="shared" si="61"/>
        <v>-</v>
      </c>
      <c r="R62" s="124" t="str">
        <f t="shared" si="62"/>
        <v>-</v>
      </c>
      <c r="S62" s="127">
        <f t="shared" si="43"/>
        <v>1</v>
      </c>
      <c r="T62" s="127">
        <f t="shared" si="44"/>
        <v>0</v>
      </c>
    </row>
    <row r="63" spans="1:20" ht="20.100000000000001" customHeight="1">
      <c r="A63" s="223">
        <v>120</v>
      </c>
      <c r="B63" s="222">
        <v>8</v>
      </c>
      <c r="C63" s="222">
        <v>32.1</v>
      </c>
      <c r="D63" s="224" t="s">
        <v>20</v>
      </c>
      <c r="E63" s="225" t="s">
        <v>213</v>
      </c>
      <c r="F63" s="225" t="s">
        <v>8</v>
      </c>
      <c r="G63" s="225" t="s">
        <v>216</v>
      </c>
      <c r="H63" s="48"/>
      <c r="I63" s="50" t="str">
        <f t="shared" si="55"/>
        <v>ＳＵＳ製床置型パイプ流入</v>
      </c>
      <c r="J63" s="51">
        <f t="shared" si="33"/>
        <v>0</v>
      </c>
      <c r="K63" s="51" t="str">
        <f t="shared" si="56"/>
        <v>-</v>
      </c>
      <c r="L63" s="52" t="str">
        <f t="shared" si="54"/>
        <v>-</v>
      </c>
      <c r="M63" s="53" t="str">
        <f t="shared" si="57"/>
        <v>-</v>
      </c>
      <c r="N63" s="123" t="str">
        <f t="shared" si="58"/>
        <v>-</v>
      </c>
      <c r="O63" s="124" t="str">
        <f t="shared" si="59"/>
        <v>-</v>
      </c>
      <c r="P63" s="53" t="str">
        <f t="shared" si="60"/>
        <v>-</v>
      </c>
      <c r="Q63" s="123" t="str">
        <f t="shared" si="61"/>
        <v>-</v>
      </c>
      <c r="R63" s="124" t="str">
        <f t="shared" si="62"/>
        <v>-</v>
      </c>
      <c r="S63" s="127">
        <f t="shared" si="43"/>
        <v>1</v>
      </c>
      <c r="T63" s="127">
        <f t="shared" si="44"/>
        <v>0</v>
      </c>
    </row>
    <row r="64" spans="1:20" ht="20.100000000000001" customHeight="1">
      <c r="A64" s="223">
        <v>82.5</v>
      </c>
      <c r="B64" s="222">
        <v>5.5</v>
      </c>
      <c r="C64" s="222">
        <f>A64*0.2666666667</f>
        <v>22.000000002749999</v>
      </c>
      <c r="D64" s="224" t="s">
        <v>20</v>
      </c>
      <c r="E64" s="225" t="s">
        <v>213</v>
      </c>
      <c r="F64" s="225" t="s">
        <v>8</v>
      </c>
      <c r="G64" s="225" t="s">
        <v>215</v>
      </c>
      <c r="H64" s="48"/>
      <c r="I64" s="50" t="str">
        <f t="shared" si="55"/>
        <v>ＳＵＳ製床置型パイプ流入</v>
      </c>
      <c r="J64" s="51">
        <f t="shared" si="33"/>
        <v>0</v>
      </c>
      <c r="K64" s="51" t="str">
        <f t="shared" si="56"/>
        <v>-</v>
      </c>
      <c r="L64" s="52" t="str">
        <f t="shared" si="54"/>
        <v>-</v>
      </c>
      <c r="M64" s="53" t="str">
        <f t="shared" si="57"/>
        <v>-</v>
      </c>
      <c r="N64" s="123" t="str">
        <f t="shared" si="58"/>
        <v>-</v>
      </c>
      <c r="O64" s="124" t="str">
        <f t="shared" si="59"/>
        <v>-</v>
      </c>
      <c r="P64" s="53" t="str">
        <f t="shared" si="60"/>
        <v>-</v>
      </c>
      <c r="Q64" s="123" t="str">
        <f t="shared" si="61"/>
        <v>-</v>
      </c>
      <c r="R64" s="124" t="str">
        <f t="shared" si="62"/>
        <v>-</v>
      </c>
      <c r="S64" s="127">
        <f t="shared" si="43"/>
        <v>1</v>
      </c>
      <c r="T64" s="127">
        <f t="shared" si="44"/>
        <v>0</v>
      </c>
    </row>
    <row r="65" spans="1:20" ht="20.100000000000001" customHeight="1">
      <c r="A65" s="223">
        <v>63.7</v>
      </c>
      <c r="B65" s="222">
        <v>4.2</v>
      </c>
      <c r="C65" s="222">
        <v>17</v>
      </c>
      <c r="D65" s="224" t="s">
        <v>20</v>
      </c>
      <c r="E65" s="225" t="s">
        <v>213</v>
      </c>
      <c r="F65" s="225" t="s">
        <v>8</v>
      </c>
      <c r="G65" s="225" t="s">
        <v>214</v>
      </c>
      <c r="H65" s="48"/>
      <c r="I65" s="50" t="str">
        <f t="shared" si="55"/>
        <v>ＳＵＳ製床置型パイプ流入</v>
      </c>
      <c r="J65" s="51">
        <f t="shared" si="33"/>
        <v>0</v>
      </c>
      <c r="K65" s="51" t="str">
        <f t="shared" si="56"/>
        <v>-</v>
      </c>
      <c r="L65" s="52" t="str">
        <f t="shared" si="54"/>
        <v>-</v>
      </c>
      <c r="M65" s="53" t="str">
        <f t="shared" si="57"/>
        <v>-</v>
      </c>
      <c r="N65" s="123" t="str">
        <f t="shared" si="58"/>
        <v>-</v>
      </c>
      <c r="O65" s="124" t="str">
        <f t="shared" si="59"/>
        <v>-</v>
      </c>
      <c r="P65" s="53" t="str">
        <f t="shared" si="60"/>
        <v>-</v>
      </c>
      <c r="Q65" s="123" t="str">
        <f t="shared" si="61"/>
        <v>-</v>
      </c>
      <c r="R65" s="124" t="str">
        <f t="shared" si="62"/>
        <v>-</v>
      </c>
      <c r="S65" s="127">
        <f t="shared" si="43"/>
        <v>1</v>
      </c>
      <c r="T65" s="127">
        <f t="shared" si="44"/>
        <v>0</v>
      </c>
    </row>
    <row r="66" spans="1:20" ht="20.100000000000001" customHeight="1">
      <c r="A66" s="223">
        <v>45</v>
      </c>
      <c r="B66" s="222">
        <v>3</v>
      </c>
      <c r="C66" s="222">
        <f>A66*0.2666666667</f>
        <v>12.0000000015</v>
      </c>
      <c r="D66" s="224" t="s">
        <v>20</v>
      </c>
      <c r="E66" s="225" t="s">
        <v>213</v>
      </c>
      <c r="F66" s="225" t="s">
        <v>8</v>
      </c>
      <c r="G66" s="225" t="s">
        <v>212</v>
      </c>
      <c r="H66" s="48"/>
      <c r="I66" s="50" t="str">
        <f t="shared" si="55"/>
        <v>ＳＵＳ製床置型パイプ流入</v>
      </c>
      <c r="J66" s="51">
        <f t="shared" si="33"/>
        <v>0</v>
      </c>
      <c r="K66" s="51" t="str">
        <f t="shared" si="56"/>
        <v>-</v>
      </c>
      <c r="L66" s="52" t="str">
        <f t="shared" si="54"/>
        <v>-</v>
      </c>
      <c r="M66" s="53" t="str">
        <f t="shared" si="57"/>
        <v>-</v>
      </c>
      <c r="N66" s="123" t="str">
        <f t="shared" si="58"/>
        <v>-</v>
      </c>
      <c r="O66" s="124" t="str">
        <f t="shared" si="59"/>
        <v>-</v>
      </c>
      <c r="P66" s="53" t="str">
        <f t="shared" si="60"/>
        <v>-</v>
      </c>
      <c r="Q66" s="123" t="str">
        <f t="shared" si="61"/>
        <v>-</v>
      </c>
      <c r="R66" s="124" t="str">
        <f t="shared" si="62"/>
        <v>-</v>
      </c>
      <c r="S66" s="127">
        <f t="shared" si="43"/>
        <v>1</v>
      </c>
      <c r="T66" s="127">
        <f t="shared" si="44"/>
        <v>0</v>
      </c>
    </row>
    <row r="67" spans="1:20" ht="20.100000000000001" customHeight="1">
      <c r="H67" s="81"/>
      <c r="J67" s="5">
        <f>SUM(J4:J66)</f>
        <v>0</v>
      </c>
      <c r="K67" s="43" t="s">
        <v>104</v>
      </c>
      <c r="L67" s="125">
        <f>MIN(L4:L66)</f>
        <v>0</v>
      </c>
      <c r="N67" s="5" t="s">
        <v>104</v>
      </c>
      <c r="O67" s="125">
        <f>MIN(O4:O66)</f>
        <v>0</v>
      </c>
      <c r="Q67" s="5" t="s">
        <v>104</v>
      </c>
      <c r="R67" s="125">
        <f>MIN(R4:R66)</f>
        <v>0</v>
      </c>
    </row>
    <row r="68" spans="1:20" ht="20.100000000000001" customHeight="1">
      <c r="H68" s="81"/>
      <c r="L68" s="132">
        <f>IF(L67=0,0,1)</f>
        <v>0</v>
      </c>
      <c r="O68" s="132">
        <f>IF(O67=0,0,1)</f>
        <v>0</v>
      </c>
      <c r="R68" s="132">
        <f>IF(R67=0,0,1)</f>
        <v>0</v>
      </c>
      <c r="S68" s="43">
        <f>IF((L68+O68+R68)=3,1,0)</f>
        <v>0</v>
      </c>
      <c r="T68" s="5"/>
    </row>
    <row r="69" spans="1:20" ht="20.100000000000001" customHeight="1">
      <c r="N69" s="81"/>
      <c r="O69" s="81"/>
      <c r="S69" s="135" t="str">
        <f>IF(S68=1,"clear","NG")</f>
        <v>NG</v>
      </c>
      <c r="T69" s="47"/>
    </row>
    <row r="70" spans="1:20" ht="20.100000000000001" customHeight="1">
      <c r="N70" s="81"/>
      <c r="O70" s="81"/>
      <c r="Q70" s="81"/>
      <c r="R70" s="81" t="s">
        <v>105</v>
      </c>
      <c r="S70" s="130" t="str">
        <f>IF(S68=1,MAX(L67,O67,R67),"-")</f>
        <v>-</v>
      </c>
      <c r="T70" s="129"/>
    </row>
    <row r="71" spans="1:20" ht="20.100000000000001" customHeight="1">
      <c r="Q71" s="81"/>
      <c r="R71" s="81" t="s">
        <v>107</v>
      </c>
      <c r="S71" s="130" t="str">
        <f>IF(S70="-","-",S70*0.048)</f>
        <v>-</v>
      </c>
      <c r="T71" s="129"/>
    </row>
    <row r="72" spans="1:20" ht="20.100000000000001" customHeight="1">
      <c r="N72" s="81"/>
      <c r="O72" s="81"/>
      <c r="Q72" s="81"/>
      <c r="R72" s="81" t="s">
        <v>106</v>
      </c>
      <c r="S72" s="130" t="str">
        <f>IF(S70="-","-",S70/0.75*0.2)</f>
        <v>-</v>
      </c>
      <c r="T72" s="129"/>
    </row>
    <row r="73" spans="1:20" ht="20.100000000000001" customHeight="1">
      <c r="N73" s="81"/>
      <c r="O73" s="81"/>
      <c r="Q73" s="81"/>
      <c r="R73" s="133"/>
      <c r="S73" s="134"/>
      <c r="T73" s="129"/>
    </row>
  </sheetData>
  <mergeCells count="18">
    <mergeCell ref="C1:E1"/>
    <mergeCell ref="A2:A3"/>
    <mergeCell ref="D2:D3"/>
    <mergeCell ref="E2:E3"/>
    <mergeCell ref="G2:G3"/>
    <mergeCell ref="F2:F3"/>
    <mergeCell ref="B2:B3"/>
    <mergeCell ref="C2:C3"/>
    <mergeCell ref="K2:L2"/>
    <mergeCell ref="M2:N2"/>
    <mergeCell ref="U2:U3"/>
    <mergeCell ref="V2:V3"/>
    <mergeCell ref="I1:V1"/>
    <mergeCell ref="P2:Q2"/>
    <mergeCell ref="O2:O3"/>
    <mergeCell ref="R2:R3"/>
    <mergeCell ref="S2:S3"/>
    <mergeCell ref="T2:T3"/>
  </mergeCells>
  <phoneticPr fontId="1"/>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F11FB-6667-446E-B988-B3B16D08F5B6}">
  <dimension ref="A2:V54"/>
  <sheetViews>
    <sheetView topLeftCell="A10" workbookViewId="0">
      <selection activeCell="A55" sqref="A55"/>
    </sheetView>
  </sheetViews>
  <sheetFormatPr defaultRowHeight="13.5"/>
  <sheetData>
    <row r="2" spans="1:2">
      <c r="A2" t="s">
        <v>243</v>
      </c>
      <c r="B2" t="s">
        <v>236</v>
      </c>
    </row>
    <row r="39" spans="1:22">
      <c r="A39" t="s">
        <v>242</v>
      </c>
      <c r="B39" t="s">
        <v>238</v>
      </c>
    </row>
    <row r="40" spans="1:22">
      <c r="B40" t="s">
        <v>239</v>
      </c>
    </row>
    <row r="41" spans="1:22">
      <c r="B41" t="s">
        <v>240</v>
      </c>
    </row>
    <row r="42" spans="1:22">
      <c r="B42" t="s">
        <v>241</v>
      </c>
    </row>
    <row r="44" spans="1:22">
      <c r="B44" t="s">
        <v>271</v>
      </c>
      <c r="J44" s="90" t="s">
        <v>56</v>
      </c>
      <c r="K44" s="91"/>
      <c r="L44" s="91"/>
      <c r="M44" s="91"/>
      <c r="N44" s="91"/>
      <c r="O44" s="91"/>
      <c r="P44" s="91"/>
      <c r="Q44" s="91"/>
      <c r="R44" s="91"/>
      <c r="S44" s="91"/>
      <c r="T44" s="91"/>
      <c r="U44" s="91"/>
      <c r="V44" s="100"/>
    </row>
    <row r="45" spans="1:22">
      <c r="B45" t="s">
        <v>272</v>
      </c>
      <c r="J45" s="101" t="s">
        <v>57</v>
      </c>
      <c r="K45" s="94">
        <v>1500</v>
      </c>
      <c r="L45" s="94">
        <v>1000</v>
      </c>
      <c r="M45" s="94">
        <v>750</v>
      </c>
      <c r="N45" s="94">
        <v>500</v>
      </c>
      <c r="O45" s="94">
        <v>380</v>
      </c>
      <c r="P45" s="94">
        <v>300</v>
      </c>
      <c r="Q45" s="94">
        <v>250</v>
      </c>
      <c r="R45" s="94">
        <v>200</v>
      </c>
      <c r="S45" s="94">
        <v>150</v>
      </c>
      <c r="T45" s="94">
        <v>100</v>
      </c>
      <c r="U45" s="94">
        <v>80</v>
      </c>
      <c r="V45" s="94">
        <v>50</v>
      </c>
    </row>
    <row r="46" spans="1:22">
      <c r="B46" t="s">
        <v>275</v>
      </c>
      <c r="J46" s="102" t="s">
        <v>58</v>
      </c>
      <c r="K46" s="97">
        <f t="shared" ref="K46:V46" si="0">K45*0.75</f>
        <v>1125</v>
      </c>
      <c r="L46" s="97">
        <f t="shared" si="0"/>
        <v>750</v>
      </c>
      <c r="M46" s="97">
        <f t="shared" si="0"/>
        <v>562.5</v>
      </c>
      <c r="N46" s="97">
        <f t="shared" si="0"/>
        <v>375</v>
      </c>
      <c r="O46" s="97">
        <f t="shared" si="0"/>
        <v>285</v>
      </c>
      <c r="P46" s="97">
        <f t="shared" si="0"/>
        <v>225</v>
      </c>
      <c r="Q46" s="97">
        <f t="shared" si="0"/>
        <v>187.5</v>
      </c>
      <c r="R46" s="97">
        <f t="shared" si="0"/>
        <v>150</v>
      </c>
      <c r="S46" s="97">
        <f t="shared" si="0"/>
        <v>112.5</v>
      </c>
      <c r="T46" s="97">
        <f t="shared" si="0"/>
        <v>75</v>
      </c>
      <c r="U46" s="97">
        <f t="shared" si="0"/>
        <v>60</v>
      </c>
      <c r="V46" s="97">
        <f t="shared" si="0"/>
        <v>37.5</v>
      </c>
    </row>
    <row r="47" spans="1:22">
      <c r="B47" t="s">
        <v>273</v>
      </c>
      <c r="J47" s="103" t="s">
        <v>59</v>
      </c>
      <c r="K47" s="104">
        <f>ROUNDDOWN(K46*0.315,0)-K48</f>
        <v>54</v>
      </c>
      <c r="L47" s="104">
        <f>ROUNDDOWN(L46*0.315,0)-L48</f>
        <v>36</v>
      </c>
      <c r="M47" s="104">
        <f>ROUNDDOWN(M46*0.315,0)-M48</f>
        <v>27</v>
      </c>
      <c r="N47" s="104">
        <f>ROUNDDOWN(N46*0.315,0)-N48</f>
        <v>18</v>
      </c>
      <c r="O47" s="104">
        <v>15</v>
      </c>
      <c r="P47" s="104">
        <f>ROUNDDOWN(P46*0.315,1)-P48</f>
        <v>10.799999999999997</v>
      </c>
      <c r="Q47" s="104">
        <f t="shared" ref="Q47:V47" si="1">ROUNDDOWN(Q46*0.315,1)-Q48</f>
        <v>9</v>
      </c>
      <c r="R47" s="104">
        <f t="shared" si="1"/>
        <v>7.2000000000000028</v>
      </c>
      <c r="S47" s="104">
        <f t="shared" si="1"/>
        <v>5.3999999999999986</v>
      </c>
      <c r="T47" s="104">
        <f t="shared" si="1"/>
        <v>3.6000000000000014</v>
      </c>
      <c r="U47" s="104">
        <f t="shared" si="1"/>
        <v>2.8999999999999986</v>
      </c>
      <c r="V47" s="104">
        <f t="shared" si="1"/>
        <v>1.8000000000000007</v>
      </c>
    </row>
    <row r="48" spans="1:22">
      <c r="J48" s="103" t="s">
        <v>60</v>
      </c>
      <c r="K48" s="104">
        <v>300</v>
      </c>
      <c r="L48" s="104">
        <f>ROUNDDOWN(L46*0.315*0.85,0)</f>
        <v>200</v>
      </c>
      <c r="M48" s="104">
        <f>ROUNDDOWN(M46*0.315*0.85,0)</f>
        <v>150</v>
      </c>
      <c r="N48" s="104">
        <f>ROUNDDOWN(N46*0.315*0.85,0)</f>
        <v>100</v>
      </c>
      <c r="O48" s="104">
        <v>75</v>
      </c>
      <c r="P48" s="104">
        <f t="shared" ref="P48:V48" si="2">ROUNDDOWN(P46*0.315*0.85,0)</f>
        <v>60</v>
      </c>
      <c r="Q48" s="104">
        <f t="shared" si="2"/>
        <v>50</v>
      </c>
      <c r="R48" s="104">
        <f t="shared" si="2"/>
        <v>40</v>
      </c>
      <c r="S48" s="104">
        <f t="shared" si="2"/>
        <v>30</v>
      </c>
      <c r="T48" s="104">
        <f t="shared" si="2"/>
        <v>20</v>
      </c>
      <c r="U48" s="104">
        <f t="shared" si="2"/>
        <v>16</v>
      </c>
      <c r="V48" s="104">
        <f t="shared" si="2"/>
        <v>10</v>
      </c>
    </row>
    <row r="50" spans="1:2">
      <c r="A50" t="s">
        <v>276</v>
      </c>
      <c r="B50" t="s">
        <v>279</v>
      </c>
    </row>
    <row r="52" spans="1:2">
      <c r="A52" t="s">
        <v>281</v>
      </c>
      <c r="B52" t="s">
        <v>282</v>
      </c>
    </row>
    <row r="54" spans="1:2">
      <c r="A54" t="s">
        <v>284</v>
      </c>
      <c r="B54" t="s">
        <v>283</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駐車、洗車、雨水流入</vt:lpstr>
      <vt:lpstr>データ</vt:lpstr>
      <vt:lpstr>製品一覧</vt:lpstr>
      <vt:lpstr>改訂履歴</vt:lpstr>
      <vt:lpstr>A</vt:lpstr>
      <vt:lpstr>DATA</vt:lpstr>
      <vt:lpstr>k</vt:lpstr>
      <vt:lpstr>n0</vt:lpstr>
      <vt:lpstr>'駐車、洗車、雨水流入'!Print_Area</vt:lpstr>
      <vt:lpstr>t</vt:lpstr>
      <vt:lpstr>Wm</vt:lpstr>
    </vt:vector>
  </TitlesOfParts>
  <Company>研究開発部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09709</dc:creator>
  <cp:lastModifiedBy>堺谷 竜男</cp:lastModifiedBy>
  <cp:lastPrinted>2020-11-09T01:37:20Z</cp:lastPrinted>
  <dcterms:created xsi:type="dcterms:W3CDTF">2009-03-17T06:30:21Z</dcterms:created>
  <dcterms:modified xsi:type="dcterms:W3CDTF">2025-01-16T04:27:35Z</dcterms:modified>
</cp:coreProperties>
</file>