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I:\共通\問い合わせ・Q&amp;A\雨水浸透マス算定アプリ\"/>
    </mc:Choice>
  </mc:AlternateContent>
  <xr:revisionPtr revIDLastSave="0" documentId="13_ncr:1_{375F49FB-413C-43CE-99AE-7DF3ADF9FEE7}" xr6:coauthVersionLast="36" xr6:coauthVersionMax="36" xr10:uidLastSave="{00000000-0000-0000-0000-000000000000}"/>
  <bookViews>
    <workbookView xWindow="32760" yWindow="32760" windowWidth="14400" windowHeight="12780" tabRatio="559" xr2:uid="{00000000-000D-0000-FFFF-FFFF00000000}"/>
  </bookViews>
  <sheets>
    <sheet name="雨水浸透マスの選定" sheetId="1" r:id="rId1"/>
    <sheet name="選定条件" sheetId="2" r:id="rId2"/>
  </sheets>
  <definedNames>
    <definedName name="_Key1" hidden="1">選定条件!#REF!</definedName>
    <definedName name="_Order1" hidden="1">0</definedName>
    <definedName name="_Order2" hidden="1">0</definedName>
    <definedName name="_xlnm.Print_Area" localSheetId="0">雨水浸透マスの選定!$A$1:$Y$59</definedName>
  </definedNames>
  <calcPr calcId="191029"/>
</workbook>
</file>

<file path=xl/calcChain.xml><?xml version="1.0" encoding="utf-8"?>
<calcChain xmlns="http://schemas.openxmlformats.org/spreadsheetml/2006/main">
  <c r="C21" i="1" l="1"/>
  <c r="D9" i="1"/>
  <c r="D8" i="1"/>
  <c r="D7" i="1"/>
  <c r="D6" i="1"/>
  <c r="M31" i="1"/>
  <c r="D56" i="1"/>
  <c r="D50" i="1"/>
  <c r="D44" i="1"/>
  <c r="D55" i="1"/>
  <c r="D49" i="1"/>
  <c r="D43" i="1"/>
  <c r="D54" i="1"/>
  <c r="D53" i="1" s="1"/>
  <c r="D48" i="1"/>
  <c r="D47" i="1" s="1"/>
  <c r="D42" i="1"/>
  <c r="D41" i="1" s="1"/>
  <c r="D36" i="1"/>
  <c r="D35" i="1" s="1"/>
  <c r="D37" i="1"/>
  <c r="D38" i="1"/>
  <c r="M59" i="1"/>
  <c r="M58" i="1"/>
  <c r="G59" i="1"/>
  <c r="M54" i="1"/>
  <c r="M53" i="1"/>
  <c r="P54" i="1"/>
  <c r="M49" i="1"/>
  <c r="M48" i="1"/>
  <c r="P49" i="1"/>
  <c r="M44" i="1"/>
  <c r="M43" i="1"/>
  <c r="P44" i="1"/>
  <c r="M39" i="1"/>
  <c r="M38" i="1"/>
  <c r="G38" i="1"/>
  <c r="M34" i="1"/>
  <c r="M33" i="1"/>
  <c r="G34" i="1"/>
  <c r="X1" i="1"/>
  <c r="J6" i="1"/>
  <c r="M36" i="1"/>
  <c r="M41" i="1"/>
  <c r="M46" i="1"/>
  <c r="M51" i="1"/>
  <c r="M56" i="1"/>
  <c r="G58" i="1"/>
  <c r="G6" i="2"/>
  <c r="G7" i="2"/>
  <c r="G8" i="2"/>
  <c r="M47" i="1"/>
  <c r="G9" i="2"/>
  <c r="G10" i="2"/>
  <c r="G11" i="2"/>
  <c r="G12" i="2"/>
  <c r="M57" i="1"/>
  <c r="M52" i="1"/>
  <c r="M37" i="1"/>
  <c r="M42" i="1"/>
  <c r="M32" i="1"/>
  <c r="G39" i="1"/>
  <c r="P48" i="1"/>
  <c r="G53" i="1"/>
  <c r="G37" i="1"/>
  <c r="G49" i="1"/>
  <c r="G47" i="1"/>
  <c r="G57" i="1"/>
  <c r="P39" i="1"/>
  <c r="G48" i="1"/>
  <c r="P38" i="1"/>
  <c r="P37" i="1"/>
  <c r="G44" i="1"/>
  <c r="P32" i="1"/>
  <c r="P42" i="1"/>
  <c r="G42" i="1"/>
  <c r="P36" i="1"/>
  <c r="G35" i="1"/>
  <c r="G32" i="1"/>
  <c r="P35" i="1"/>
  <c r="G33" i="1"/>
  <c r="P47" i="1"/>
  <c r="G36" i="1"/>
  <c r="P59" i="1"/>
  <c r="P34" i="1"/>
  <c r="G43" i="1"/>
  <c r="G52" i="1"/>
  <c r="P53" i="1"/>
  <c r="P33" i="1"/>
  <c r="G54" i="1"/>
  <c r="P52" i="1"/>
  <c r="P57" i="1"/>
  <c r="P43" i="1"/>
  <c r="P41" i="1"/>
  <c r="P58" i="1"/>
  <c r="G31" i="1"/>
  <c r="G40" i="1"/>
  <c r="P40" i="1"/>
  <c r="P56" i="1"/>
  <c r="G56" i="1"/>
  <c r="T35" i="1"/>
  <c r="R35" i="1"/>
  <c r="G51" i="1"/>
  <c r="P51" i="1"/>
  <c r="G41" i="1"/>
  <c r="P46" i="1"/>
  <c r="G46" i="1"/>
  <c r="P31" i="1"/>
  <c r="G45" i="1"/>
  <c r="P45" i="1"/>
  <c r="T40" i="1"/>
  <c r="R40" i="1"/>
  <c r="G50" i="1"/>
  <c r="P50" i="1"/>
  <c r="P30" i="1"/>
  <c r="G30" i="1"/>
  <c r="G55" i="1"/>
  <c r="P55" i="1"/>
  <c r="T30" i="1"/>
  <c r="R30" i="1"/>
  <c r="T50" i="1"/>
  <c r="R50" i="1"/>
  <c r="R45" i="1"/>
  <c r="T45" i="1"/>
  <c r="T55" i="1"/>
  <c r="R55" i="1"/>
  <c r="D32" i="1" l="1"/>
  <c r="C31" i="1"/>
  <c r="C40" i="1"/>
  <c r="C52" i="1"/>
  <c r="C46" i="1"/>
  <c r="C34" i="1"/>
  <c r="E19" i="1" l="1"/>
  <c r="I19" i="1"/>
  <c r="G19" i="1"/>
  <c r="H19" i="1"/>
  <c r="F19" i="1"/>
  <c r="D19" i="1"/>
  <c r="V55" i="1" l="1"/>
  <c r="X55" i="1"/>
  <c r="X35" i="1"/>
  <c r="V35" i="1"/>
  <c r="V30" i="1"/>
  <c r="X30" i="1"/>
  <c r="X40" i="1"/>
  <c r="V40" i="1"/>
  <c r="X50" i="1"/>
  <c r="V50" i="1"/>
  <c r="X45" i="1"/>
  <c r="V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16616</author>
    <author>前澤化成工業 株式会社</author>
  </authors>
  <commentList>
    <comment ref="C6" authorId="0" shapeId="0" xr:uid="{00000000-0006-0000-0000-000001000000}">
      <text>
        <r>
          <rPr>
            <b/>
            <sz val="6"/>
            <color indexed="81"/>
            <rFont val="ＭＳ Ｐゴシック"/>
            <family val="3"/>
            <charset val="128"/>
          </rPr>
          <t>流出係数を番号（１～８）で入力して下さい</t>
        </r>
      </text>
    </comment>
    <comment ref="E6" authorId="1" shapeId="0" xr:uid="{00000000-0006-0000-0000-000002000000}">
      <text>
        <r>
          <rPr>
            <b/>
            <sz val="6"/>
            <color indexed="81"/>
            <rFont val="ＭＳ Ｐゴシック"/>
            <family val="3"/>
            <charset val="128"/>
          </rPr>
          <t>選定施設面積を数字で入力して下さい</t>
        </r>
      </text>
    </comment>
    <comment ref="G6" authorId="0" shapeId="0" xr:uid="{00000000-0006-0000-0000-000003000000}">
      <text>
        <r>
          <rPr>
            <b/>
            <sz val="6"/>
            <color indexed="81"/>
            <rFont val="ＭＳ Ｐゴシック"/>
            <family val="3"/>
            <charset val="128"/>
          </rPr>
          <t>対策降雨強度を数字で入力して下さい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I6" authorId="0" shapeId="0" xr:uid="{00000000-0006-0000-0000-000004000000}">
      <text>
        <r>
          <rPr>
            <b/>
            <sz val="6"/>
            <color indexed="81"/>
            <rFont val="ＭＳ Ｐゴシック"/>
            <family val="3"/>
            <charset val="128"/>
          </rPr>
          <t>土壌を番号（１～７）で入力して下さい</t>
        </r>
      </text>
    </comment>
    <comment ref="C7" authorId="0" shapeId="0" xr:uid="{00000000-0006-0000-0000-000005000000}">
      <text>
        <r>
          <rPr>
            <b/>
            <sz val="6"/>
            <color indexed="81"/>
            <rFont val="ＭＳ Ｐゴシック"/>
            <family val="3"/>
            <charset val="128"/>
          </rPr>
          <t>流出係数を番号（１～８）で入力して下さい</t>
        </r>
      </text>
    </comment>
    <comment ref="E7" authorId="1" shapeId="0" xr:uid="{00000000-0006-0000-0000-000006000000}">
      <text>
        <r>
          <rPr>
            <b/>
            <sz val="6"/>
            <color indexed="81"/>
            <rFont val="ＭＳ Ｐゴシック"/>
            <family val="3"/>
            <charset val="128"/>
          </rPr>
          <t>選定施設面積を数字で入力して下さい</t>
        </r>
      </text>
    </comment>
    <comment ref="C8" authorId="0" shapeId="0" xr:uid="{00000000-0006-0000-0000-000007000000}">
      <text>
        <r>
          <rPr>
            <b/>
            <sz val="6"/>
            <color indexed="81"/>
            <rFont val="ＭＳ Ｐゴシック"/>
            <family val="3"/>
            <charset val="128"/>
          </rPr>
          <t>流出係数を番号（１～８）で入力して下さい</t>
        </r>
      </text>
    </comment>
    <comment ref="E8" authorId="1" shapeId="0" xr:uid="{00000000-0006-0000-0000-000008000000}">
      <text>
        <r>
          <rPr>
            <b/>
            <sz val="6"/>
            <color indexed="81"/>
            <rFont val="ＭＳ Ｐゴシック"/>
            <family val="3"/>
            <charset val="128"/>
          </rPr>
          <t>選定施設面積を数字で入力して下さい</t>
        </r>
      </text>
    </comment>
    <comment ref="C9" authorId="0" shapeId="0" xr:uid="{00000000-0006-0000-0000-000009000000}">
      <text>
        <r>
          <rPr>
            <b/>
            <sz val="6"/>
            <color indexed="81"/>
            <rFont val="ＭＳ Ｐゴシック"/>
            <family val="3"/>
            <charset val="128"/>
          </rPr>
          <t>流出係数を番号（１～８）で入力して下さい</t>
        </r>
      </text>
    </comment>
    <comment ref="E9" authorId="1" shapeId="0" xr:uid="{00000000-0006-0000-0000-00000A000000}">
      <text>
        <r>
          <rPr>
            <b/>
            <sz val="6"/>
            <color indexed="81"/>
            <rFont val="ＭＳ Ｐゴシック"/>
            <family val="3"/>
            <charset val="128"/>
          </rPr>
          <t>選定施設面積を数字で入力して下さい</t>
        </r>
      </text>
    </comment>
    <comment ref="D13" authorId="0" shapeId="0" xr:uid="{00000000-0006-0000-0000-00000B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E13" authorId="0" shapeId="0" xr:uid="{00000000-0006-0000-0000-00000C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F13" authorId="0" shapeId="0" xr:uid="{00000000-0006-0000-0000-00000D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G13" authorId="0" shapeId="0" xr:uid="{00000000-0006-0000-0000-00000E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</text>
    </comment>
    <comment ref="H13" authorId="0" shapeId="0" xr:uid="{00000000-0006-0000-0000-00000F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I13" authorId="0" shapeId="0" xr:uid="{00000000-0006-0000-0000-000010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</text>
    </comment>
    <comment ref="D14" authorId="0" shapeId="0" xr:uid="{00000000-0006-0000-0000-000011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E14" authorId="0" shapeId="0" xr:uid="{00000000-0006-0000-0000-000012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HGPｺﾞｼｯｸM"/>
            <family val="3"/>
            <charset val="128"/>
          </rPr>
          <t xml:space="preserve">
</t>
        </r>
      </text>
    </comment>
    <comment ref="F14" authorId="0" shapeId="0" xr:uid="{00000000-0006-0000-0000-000013000000}">
      <text>
        <r>
          <rPr>
            <b/>
            <sz val="6"/>
            <color indexed="81"/>
            <rFont val="ＭＳ Ｐゴシック"/>
            <family val="3"/>
            <charset val="128"/>
          </rPr>
          <t>設定値が違う場合、入力してください。</t>
        </r>
        <r>
          <rPr>
            <sz val="6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00000000-0006-0000-0000-000014000000}">
      <text>
        <r>
          <rPr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</text>
    </comment>
    <comment ref="H14" authorId="0" shapeId="0" xr:uid="{00000000-0006-0000-0000-000015000000}">
      <text>
        <r>
          <rPr>
            <b/>
            <sz val="6"/>
            <color indexed="81"/>
            <rFont val="HGPｺﾞｼｯｸM"/>
            <family val="3"/>
            <charset val="128"/>
          </rPr>
          <t>設定値が違う場合、入力してください。</t>
        </r>
      </text>
    </comment>
    <comment ref="I14" authorId="0" shapeId="0" xr:uid="{00000000-0006-0000-0000-000016000000}">
      <text>
        <r>
          <rPr>
            <b/>
            <sz val="6"/>
            <color indexed="81"/>
            <rFont val="HGSｺﾞｼｯｸM"/>
            <family val="3"/>
            <charset val="128"/>
          </rPr>
          <t>設定値が違う場合、入力してください。</t>
        </r>
      </text>
    </comment>
  </commentList>
</comments>
</file>

<file path=xl/sharedStrings.xml><?xml version="1.0" encoding="utf-8"?>
<sst xmlns="http://schemas.openxmlformats.org/spreadsheetml/2006/main" count="264" uniqueCount="140">
  <si>
    <t>データ（各因子の標準値）</t>
  </si>
  <si>
    <t>１．対策雨水量</t>
    <rPh sb="2" eb="4">
      <t>タイサク</t>
    </rPh>
    <rPh sb="4" eb="6">
      <t>ウスイ</t>
    </rPh>
    <rPh sb="6" eb="7">
      <t>リョウ</t>
    </rPh>
    <phoneticPr fontId="5"/>
  </si>
  <si>
    <t>　</t>
    <phoneticPr fontId="5"/>
  </si>
  <si>
    <t>土壌</t>
    <rPh sb="0" eb="2">
      <t>ドジョウ</t>
    </rPh>
    <phoneticPr fontId="5"/>
  </si>
  <si>
    <t>粘土</t>
    <rPh sb="0" eb="2">
      <t>ネンド</t>
    </rPh>
    <phoneticPr fontId="5"/>
  </si>
  <si>
    <t>シルト</t>
    <phoneticPr fontId="5"/>
  </si>
  <si>
    <t>微細砂</t>
    <rPh sb="0" eb="2">
      <t>ビサイ</t>
    </rPh>
    <rPh sb="2" eb="3">
      <t>スナ</t>
    </rPh>
    <phoneticPr fontId="5"/>
  </si>
  <si>
    <t>細砂</t>
    <rPh sb="0" eb="1">
      <t>ホソ</t>
    </rPh>
    <rPh sb="1" eb="2">
      <t>スナ</t>
    </rPh>
    <phoneticPr fontId="5"/>
  </si>
  <si>
    <t>中砂</t>
    <rPh sb="0" eb="2">
      <t>ナカスナ</t>
    </rPh>
    <phoneticPr fontId="5"/>
  </si>
  <si>
    <t>粗砂</t>
    <rPh sb="0" eb="1">
      <t>アラ</t>
    </rPh>
    <rPh sb="1" eb="2">
      <t>スナ</t>
    </rPh>
    <phoneticPr fontId="5"/>
  </si>
  <si>
    <t>小砂利</t>
    <rPh sb="0" eb="1">
      <t>コ</t>
    </rPh>
    <rPh sb="1" eb="3">
      <t>ジャリ</t>
    </rPh>
    <phoneticPr fontId="5"/>
  </si>
  <si>
    <t>ERR：1～7を入力して下さい</t>
    <phoneticPr fontId="5"/>
  </si>
  <si>
    <t>ERR：1～7を入力して下さい</t>
    <phoneticPr fontId="5"/>
  </si>
  <si>
    <t>粒径　［mm］</t>
    <rPh sb="0" eb="1">
      <t>リュウ</t>
    </rPh>
    <rPh sb="1" eb="2">
      <t>ケイ</t>
    </rPh>
    <phoneticPr fontId="5"/>
  </si>
  <si>
    <t>0～0.01</t>
    <phoneticPr fontId="5"/>
  </si>
  <si>
    <t>0.01～0.05</t>
    <phoneticPr fontId="5"/>
  </si>
  <si>
    <t>0.05～0.10</t>
    <phoneticPr fontId="5"/>
  </si>
  <si>
    <t>0.10～0.25</t>
    <phoneticPr fontId="5"/>
  </si>
  <si>
    <t>0.25～0.50</t>
    <phoneticPr fontId="5"/>
  </si>
  <si>
    <t>0.50～1.00</t>
    <phoneticPr fontId="5"/>
  </si>
  <si>
    <t>1.00～5.00</t>
    <phoneticPr fontId="5"/>
  </si>
  <si>
    <t>計算値</t>
    <rPh sb="0" eb="3">
      <t>ケイサンチ</t>
    </rPh>
    <phoneticPr fontId="5"/>
  </si>
  <si>
    <t>基準値</t>
    <rPh sb="0" eb="3">
      <t>キジュンチ</t>
    </rPh>
    <phoneticPr fontId="5"/>
  </si>
  <si>
    <t>飽和透水係数　Ｋ0［㎝/ｓ］</t>
    <rPh sb="0" eb="2">
      <t>ホウワ</t>
    </rPh>
    <rPh sb="2" eb="4">
      <t>トウスイ</t>
    </rPh>
    <rPh sb="4" eb="6">
      <t>ケイスウ</t>
    </rPh>
    <phoneticPr fontId="5"/>
  </si>
  <si>
    <t>設計水頭</t>
    <rPh sb="0" eb="2">
      <t>セッケイ</t>
    </rPh>
    <rPh sb="2" eb="4">
      <t>スイトウ</t>
    </rPh>
    <phoneticPr fontId="5"/>
  </si>
  <si>
    <t>施設幅</t>
    <rPh sb="0" eb="2">
      <t>シセツ</t>
    </rPh>
    <rPh sb="2" eb="3">
      <t>ハバ</t>
    </rPh>
    <phoneticPr fontId="5"/>
  </si>
  <si>
    <t>［ｍ］</t>
  </si>
  <si>
    <t>２．基準浸透量</t>
    <rPh sb="2" eb="4">
      <t>キジュン</t>
    </rPh>
    <rPh sb="4" eb="6">
      <t>シントウ</t>
    </rPh>
    <rPh sb="6" eb="7">
      <t>リョウ</t>
    </rPh>
    <phoneticPr fontId="5"/>
  </si>
  <si>
    <t>［㎝/ｓ］</t>
  </si>
  <si>
    <t>Ｋ0［ｍ/h］</t>
    <phoneticPr fontId="5"/>
  </si>
  <si>
    <t>３．単位設計浸透量</t>
    <rPh sb="2" eb="4">
      <t>タンイ</t>
    </rPh>
    <rPh sb="4" eb="6">
      <t>セッケイ</t>
    </rPh>
    <rPh sb="6" eb="8">
      <t>シントウ</t>
    </rPh>
    <rPh sb="8" eb="9">
      <t>リョウ</t>
    </rPh>
    <phoneticPr fontId="5"/>
  </si>
  <si>
    <t>α：各種影響係数＝0.81</t>
    <rPh sb="2" eb="4">
      <t>カクシュ</t>
    </rPh>
    <rPh sb="4" eb="6">
      <t>エイキョウ</t>
    </rPh>
    <rPh sb="6" eb="8">
      <t>ケイスウ</t>
    </rPh>
    <phoneticPr fontId="5"/>
  </si>
  <si>
    <t>４．設計浸透量</t>
    <rPh sb="2" eb="4">
      <t>セッケイ</t>
    </rPh>
    <rPh sb="4" eb="6">
      <t>シントウ</t>
    </rPh>
    <rPh sb="6" eb="7">
      <t>リョウ</t>
    </rPh>
    <phoneticPr fontId="5"/>
  </si>
  <si>
    <t>　</t>
    <phoneticPr fontId="5"/>
  </si>
  <si>
    <t>［㎜/h］</t>
    <phoneticPr fontId="5"/>
  </si>
  <si>
    <t xml:space="preserve">[㎡] </t>
    <phoneticPr fontId="5"/>
  </si>
  <si>
    <t>Ｋf＝</t>
    <phoneticPr fontId="5"/>
  </si>
  <si>
    <t xml:space="preserve">[㎡] </t>
    <phoneticPr fontId="5"/>
  </si>
  <si>
    <t>ａ＝</t>
    <phoneticPr fontId="5"/>
  </si>
  <si>
    <t>ｂ＝</t>
    <phoneticPr fontId="5"/>
  </si>
  <si>
    <t>ｃ＝</t>
    <phoneticPr fontId="5"/>
  </si>
  <si>
    <t xml:space="preserve">[㎡] </t>
    <phoneticPr fontId="5"/>
  </si>
  <si>
    <t xml:space="preserve"> </t>
    <phoneticPr fontId="5"/>
  </si>
  <si>
    <t>Ｃ×Ｉ×Ａ</t>
  </si>
  <si>
    <t>Ｋ0×Ｋf</t>
  </si>
  <si>
    <t>飽和透水係数</t>
    <rPh sb="0" eb="2">
      <t>ホウワ</t>
    </rPh>
    <rPh sb="2" eb="4">
      <t>トウスイ</t>
    </rPh>
    <rPh sb="4" eb="6">
      <t>ケイスウ</t>
    </rPh>
    <phoneticPr fontId="5"/>
  </si>
  <si>
    <t>比浸透量</t>
    <rPh sb="0" eb="1">
      <t>ヒ</t>
    </rPh>
    <rPh sb="1" eb="3">
      <t>シントウ</t>
    </rPh>
    <rPh sb="3" eb="4">
      <t>リョウ</t>
    </rPh>
    <phoneticPr fontId="5"/>
  </si>
  <si>
    <t>Ｑ1＝</t>
    <phoneticPr fontId="5"/>
  </si>
  <si>
    <t>Ｑf＝</t>
    <phoneticPr fontId="5"/>
  </si>
  <si>
    <t>　</t>
    <phoneticPr fontId="5"/>
  </si>
  <si>
    <t>Ｋf＝</t>
    <phoneticPr fontId="5"/>
  </si>
  <si>
    <t>Ｋ0 ：</t>
    <phoneticPr fontId="5"/>
  </si>
  <si>
    <t>Ｋf ：</t>
    <phoneticPr fontId="5"/>
  </si>
  <si>
    <t>Ｗ　：</t>
    <phoneticPr fontId="5"/>
  </si>
  <si>
    <t>Ｈ　：</t>
    <phoneticPr fontId="5"/>
  </si>
  <si>
    <t>Ｋ0＝</t>
    <phoneticPr fontId="5"/>
  </si>
  <si>
    <t>－</t>
    <phoneticPr fontId="5"/>
  </si>
  <si>
    <t>＝</t>
    <phoneticPr fontId="5"/>
  </si>
  <si>
    <t>［ｍ/h］</t>
    <phoneticPr fontId="5"/>
  </si>
  <si>
    <t>［㎜/h］</t>
    <phoneticPr fontId="5"/>
  </si>
  <si>
    <t>Ｗ＝</t>
    <phoneticPr fontId="5"/>
  </si>
  <si>
    <t>Ｑ2＝</t>
    <phoneticPr fontId="5"/>
  </si>
  <si>
    <t>Ｈ＝</t>
    <phoneticPr fontId="5"/>
  </si>
  <si>
    <t>Ｑf＝</t>
    <phoneticPr fontId="5"/>
  </si>
  <si>
    <t>雨水流出係数</t>
    <rPh sb="0" eb="2">
      <t>ウスイ</t>
    </rPh>
    <rPh sb="2" eb="4">
      <t>リュウシュツ</t>
    </rPh>
    <rPh sb="4" eb="6">
      <t>ケイスウ</t>
    </rPh>
    <phoneticPr fontId="5"/>
  </si>
  <si>
    <t>対策降雨強度</t>
    <rPh sb="0" eb="2">
      <t>タイサク</t>
    </rPh>
    <rPh sb="2" eb="4">
      <t>コウウ</t>
    </rPh>
    <rPh sb="4" eb="6">
      <t>キョウド</t>
    </rPh>
    <phoneticPr fontId="5"/>
  </si>
  <si>
    <t>対策面積</t>
    <rPh sb="0" eb="2">
      <t>タイサク</t>
    </rPh>
    <rPh sb="2" eb="4">
      <t>メンセキ</t>
    </rPh>
    <phoneticPr fontId="5"/>
  </si>
  <si>
    <t>設置数</t>
    <rPh sb="0" eb="2">
      <t>セッチ</t>
    </rPh>
    <rPh sb="2" eb="3">
      <t>スウ</t>
    </rPh>
    <phoneticPr fontId="5"/>
  </si>
  <si>
    <t>Ｃ：</t>
    <phoneticPr fontId="5"/>
  </si>
  <si>
    <t>Ｉ：</t>
    <phoneticPr fontId="5"/>
  </si>
  <si>
    <t>Ａ：</t>
    <phoneticPr fontId="5"/>
  </si>
  <si>
    <t xml:space="preserve">  ａ＝0.120×Ｗ＋0.985</t>
    <phoneticPr fontId="5"/>
  </si>
  <si>
    <t xml:space="preserve">  ｂ＝7.837×Ｗ＋0.82</t>
    <phoneticPr fontId="5"/>
  </si>
  <si>
    <t xml:space="preserve">  ｃ＝2.858×Ｗ－0.283</t>
    <phoneticPr fontId="5"/>
  </si>
  <si>
    <t>●選定条件</t>
    <rPh sb="1" eb="3">
      <t>センテイ</t>
    </rPh>
    <rPh sb="3" eb="5">
      <t>ジョウケン</t>
    </rPh>
    <phoneticPr fontId="5"/>
  </si>
  <si>
    <t>計算式</t>
    <rPh sb="0" eb="3">
      <t>ケイサンシキ</t>
    </rPh>
    <phoneticPr fontId="5"/>
  </si>
  <si>
    <t>計算結果</t>
    <rPh sb="0" eb="2">
      <t>ケイサン</t>
    </rPh>
    <rPh sb="2" eb="4">
      <t>ケッカ</t>
    </rPh>
    <phoneticPr fontId="5"/>
  </si>
  <si>
    <t>選定日：</t>
    <rPh sb="0" eb="2">
      <t>センテイ</t>
    </rPh>
    <rPh sb="2" eb="3">
      <t>ビ</t>
    </rPh>
    <phoneticPr fontId="5"/>
  </si>
  <si>
    <t>雨水浸透マスの選定</t>
    <rPh sb="0" eb="2">
      <t>ウスイ</t>
    </rPh>
    <rPh sb="2" eb="4">
      <t>シントウ</t>
    </rPh>
    <rPh sb="7" eb="9">
      <t>センテイ</t>
    </rPh>
    <phoneticPr fontId="5"/>
  </si>
  <si>
    <t>●雨水浸透マス設置数</t>
    <rPh sb="1" eb="3">
      <t>ウスイ</t>
    </rPh>
    <rPh sb="3" eb="5">
      <t>シントウ</t>
    </rPh>
    <rPh sb="7" eb="9">
      <t>セッチ</t>
    </rPh>
    <rPh sb="9" eb="10">
      <t>スウ</t>
    </rPh>
    <phoneticPr fontId="5"/>
  </si>
  <si>
    <t>マス径</t>
    <rPh sb="2" eb="3">
      <t>ケイ</t>
    </rPh>
    <phoneticPr fontId="5"/>
  </si>
  <si>
    <t>ｎ　：浸透マス設置数</t>
    <rPh sb="3" eb="5">
      <t>シントウ</t>
    </rPh>
    <rPh sb="7" eb="10">
      <t>セッチスウ</t>
    </rPh>
    <phoneticPr fontId="5"/>
  </si>
  <si>
    <t>●砕石部の大きさ</t>
    <rPh sb="1" eb="3">
      <t>サイセキ</t>
    </rPh>
    <rPh sb="3" eb="4">
      <t>ブ</t>
    </rPh>
    <rPh sb="5" eb="6">
      <t>オオ</t>
    </rPh>
    <phoneticPr fontId="5"/>
  </si>
  <si>
    <t>【単位：ｍ】</t>
    <rPh sb="1" eb="3">
      <t>タンイ</t>
    </rPh>
    <phoneticPr fontId="5"/>
  </si>
  <si>
    <t>【単位：個】</t>
    <rPh sb="1" eb="3">
      <t>タンイ</t>
    </rPh>
    <rPh sb="4" eb="5">
      <t>コ</t>
    </rPh>
    <phoneticPr fontId="5"/>
  </si>
  <si>
    <t xml:space="preserve">[ｍ/h] </t>
    <phoneticPr fontId="5"/>
  </si>
  <si>
    <t>施設幅（Ｗ）</t>
    <rPh sb="0" eb="2">
      <t>シセツ</t>
    </rPh>
    <rPh sb="2" eb="3">
      <t>ハバ</t>
    </rPh>
    <phoneticPr fontId="5"/>
  </si>
  <si>
    <t>設計水頭（Ｈ）</t>
    <rPh sb="0" eb="2">
      <t>セッケイ</t>
    </rPh>
    <rPh sb="2" eb="4">
      <t>スイトウ</t>
    </rPh>
    <phoneticPr fontId="5"/>
  </si>
  <si>
    <r>
      <t>[m</t>
    </r>
    <r>
      <rPr>
        <vertAlign val="superscript"/>
        <sz val="5"/>
        <rFont val="HGPｺﾞｼｯｸM"/>
        <family val="3"/>
        <charset val="128"/>
      </rPr>
      <t>3</t>
    </r>
    <r>
      <rPr>
        <sz val="5"/>
        <rFont val="HGPｺﾞｼｯｸM"/>
        <family val="3"/>
        <charset val="128"/>
      </rPr>
      <t xml:space="preserve">/h] </t>
    </r>
    <phoneticPr fontId="5"/>
  </si>
  <si>
    <r>
      <t>[m</t>
    </r>
    <r>
      <rPr>
        <vertAlign val="superscript"/>
        <sz val="5"/>
        <rFont val="HGPｺﾞｼｯｸM"/>
        <family val="3"/>
        <charset val="128"/>
      </rPr>
      <t>3</t>
    </r>
    <r>
      <rPr>
        <sz val="5"/>
        <rFont val="HGPｺﾞｼｯｸM"/>
        <family val="3"/>
        <charset val="128"/>
      </rPr>
      <t xml:space="preserve">/h個] </t>
    </r>
    <phoneticPr fontId="5"/>
  </si>
  <si>
    <r>
      <t>[m</t>
    </r>
    <r>
      <rPr>
        <vertAlign val="superscript"/>
        <sz val="5"/>
        <rFont val="HGPｺﾞｼｯｸM"/>
        <family val="3"/>
        <charset val="128"/>
      </rPr>
      <t>3</t>
    </r>
    <r>
      <rPr>
        <sz val="5"/>
        <rFont val="HGPｺﾞｼｯｸM"/>
        <family val="3"/>
        <charset val="128"/>
      </rPr>
      <t xml:space="preserve">/h個] </t>
    </r>
    <rPh sb="5" eb="6">
      <t>コ</t>
    </rPh>
    <phoneticPr fontId="5"/>
  </si>
  <si>
    <r>
      <t>[m</t>
    </r>
    <r>
      <rPr>
        <vertAlign val="superscript"/>
        <sz val="5"/>
        <rFont val="HGPｺﾞｼｯｸM"/>
        <family val="3"/>
        <charset val="128"/>
      </rPr>
      <t>3</t>
    </r>
    <r>
      <rPr>
        <sz val="5"/>
        <rFont val="HGPｺﾞｼｯｸM"/>
        <family val="3"/>
        <charset val="128"/>
      </rPr>
      <t xml:space="preserve">/h] </t>
    </r>
    <phoneticPr fontId="5"/>
  </si>
  <si>
    <r>
      <t>ａＨ</t>
    </r>
    <r>
      <rPr>
        <vertAlign val="superscript"/>
        <sz val="5"/>
        <rFont val="HGPｺﾞｼｯｸM"/>
        <family val="3"/>
        <charset val="128"/>
      </rPr>
      <t>２</t>
    </r>
    <r>
      <rPr>
        <sz val="5"/>
        <rFont val="HGPｺﾞｼｯｸM"/>
        <family val="3"/>
        <charset val="128"/>
      </rPr>
      <t>＋ｂＨ＋ｃ</t>
    </r>
    <phoneticPr fontId="5"/>
  </si>
  <si>
    <r>
      <t>[m</t>
    </r>
    <r>
      <rPr>
        <vertAlign val="superscript"/>
        <sz val="5"/>
        <rFont val="HGPｺﾞｼｯｸM"/>
        <family val="3"/>
        <charset val="128"/>
      </rPr>
      <t>3</t>
    </r>
    <r>
      <rPr>
        <sz val="5"/>
        <rFont val="HGPｺﾞｼｯｸM"/>
        <family val="3"/>
        <charset val="128"/>
      </rPr>
      <t>/h個]</t>
    </r>
    <phoneticPr fontId="5"/>
  </si>
  <si>
    <r>
      <t>3×10</t>
    </r>
    <r>
      <rPr>
        <vertAlign val="superscript"/>
        <sz val="12"/>
        <rFont val="ＭＳ Ｐゴシック"/>
        <family val="3"/>
        <charset val="128"/>
      </rPr>
      <t>-6</t>
    </r>
    <phoneticPr fontId="5"/>
  </si>
  <si>
    <r>
      <t>4.5×10</t>
    </r>
    <r>
      <rPr>
        <vertAlign val="superscript"/>
        <sz val="12"/>
        <rFont val="ＭＳ Ｐゴシック"/>
        <family val="3"/>
        <charset val="128"/>
      </rPr>
      <t>-4</t>
    </r>
    <phoneticPr fontId="5"/>
  </si>
  <si>
    <r>
      <t>3.5×10</t>
    </r>
    <r>
      <rPr>
        <vertAlign val="superscript"/>
        <sz val="12"/>
        <rFont val="ＭＳ Ｐゴシック"/>
        <family val="3"/>
        <charset val="128"/>
      </rPr>
      <t>-3</t>
    </r>
    <phoneticPr fontId="5"/>
  </si>
  <si>
    <t>工種別流出係数</t>
    <rPh sb="0" eb="1">
      <t>コウ</t>
    </rPh>
    <rPh sb="1" eb="3">
      <t>シュベツ</t>
    </rPh>
    <rPh sb="3" eb="5">
      <t>リュウシュツ</t>
    </rPh>
    <rPh sb="5" eb="7">
      <t>ケイスウ</t>
    </rPh>
    <phoneticPr fontId="5"/>
  </si>
  <si>
    <t>標準値</t>
    <rPh sb="0" eb="2">
      <t>ヒョウジュン</t>
    </rPh>
    <rPh sb="2" eb="3">
      <t>アタイ</t>
    </rPh>
    <phoneticPr fontId="5"/>
  </si>
  <si>
    <t>0.85～0.95</t>
    <phoneticPr fontId="5"/>
  </si>
  <si>
    <t>屋根</t>
    <rPh sb="0" eb="2">
      <t>ヤネ</t>
    </rPh>
    <phoneticPr fontId="5"/>
  </si>
  <si>
    <t>道路</t>
    <rPh sb="0" eb="2">
      <t>ドウロ</t>
    </rPh>
    <phoneticPr fontId="5"/>
  </si>
  <si>
    <t>その他の不透面</t>
    <rPh sb="2" eb="3">
      <t>タ</t>
    </rPh>
    <rPh sb="4" eb="5">
      <t>フ</t>
    </rPh>
    <rPh sb="5" eb="6">
      <t>トウ</t>
    </rPh>
    <rPh sb="6" eb="7">
      <t>メン</t>
    </rPh>
    <phoneticPr fontId="5"/>
  </si>
  <si>
    <t>水面</t>
    <rPh sb="0" eb="2">
      <t>スイメン</t>
    </rPh>
    <phoneticPr fontId="5"/>
  </si>
  <si>
    <t>間地</t>
    <rPh sb="0" eb="1">
      <t>マ</t>
    </rPh>
    <rPh sb="1" eb="2">
      <t>チ</t>
    </rPh>
    <phoneticPr fontId="5"/>
  </si>
  <si>
    <t>芝、樹木の多い公園</t>
    <rPh sb="0" eb="1">
      <t>シバ</t>
    </rPh>
    <rPh sb="2" eb="4">
      <t>ジュモク</t>
    </rPh>
    <rPh sb="5" eb="6">
      <t>オオ</t>
    </rPh>
    <rPh sb="7" eb="9">
      <t>コウエン</t>
    </rPh>
    <phoneticPr fontId="5"/>
  </si>
  <si>
    <t>勾配の緩い山地</t>
    <rPh sb="0" eb="2">
      <t>コウバイ</t>
    </rPh>
    <rPh sb="3" eb="4">
      <t>ユル</t>
    </rPh>
    <rPh sb="5" eb="7">
      <t>サンチ</t>
    </rPh>
    <phoneticPr fontId="5"/>
  </si>
  <si>
    <t>勾配の急な山地</t>
    <rPh sb="0" eb="2">
      <t>コウバイ</t>
    </rPh>
    <rPh sb="3" eb="4">
      <t>キュウ</t>
    </rPh>
    <rPh sb="5" eb="7">
      <t>サンチ</t>
    </rPh>
    <phoneticPr fontId="5"/>
  </si>
  <si>
    <t>0.80～0.90</t>
    <phoneticPr fontId="5"/>
  </si>
  <si>
    <t>0.75～0.85</t>
    <phoneticPr fontId="5"/>
  </si>
  <si>
    <t>0.10～0.30</t>
    <phoneticPr fontId="5"/>
  </si>
  <si>
    <t>0.05～0.25</t>
    <phoneticPr fontId="5"/>
  </si>
  <si>
    <t>0.20～0.40</t>
    <phoneticPr fontId="5"/>
  </si>
  <si>
    <t>0.40～0.60</t>
    <phoneticPr fontId="5"/>
  </si>
  <si>
    <t>Ｃ1＝</t>
    <phoneticPr fontId="5"/>
  </si>
  <si>
    <t>Ｉ1＝</t>
    <phoneticPr fontId="5"/>
  </si>
  <si>
    <t>Ａ1＝</t>
    <phoneticPr fontId="5"/>
  </si>
  <si>
    <t>Ｃ2＝</t>
    <phoneticPr fontId="5"/>
  </si>
  <si>
    <t>Ｉ2＝</t>
    <phoneticPr fontId="5"/>
  </si>
  <si>
    <t>Ａ2＝</t>
    <phoneticPr fontId="5"/>
  </si>
  <si>
    <t>Ｑ3＝</t>
    <phoneticPr fontId="5"/>
  </si>
  <si>
    <t>Ｃ3＝</t>
    <phoneticPr fontId="5"/>
  </si>
  <si>
    <t>Ｉ3＝</t>
    <phoneticPr fontId="5"/>
  </si>
  <si>
    <t>Ａ3＝</t>
    <phoneticPr fontId="5"/>
  </si>
  <si>
    <t>Ｑ4＝</t>
    <phoneticPr fontId="5"/>
  </si>
  <si>
    <t>Ｃ4＝</t>
    <phoneticPr fontId="5"/>
  </si>
  <si>
    <t>Ｉ4＝</t>
    <phoneticPr fontId="5"/>
  </si>
  <si>
    <t>Ａ4＝</t>
    <phoneticPr fontId="5"/>
  </si>
  <si>
    <t>Ｑ対策＝</t>
    <rPh sb="1" eb="3">
      <t>タイサク</t>
    </rPh>
    <phoneticPr fontId="5"/>
  </si>
  <si>
    <t>Q対策＝Q1＋Q2＋Q3＋Q4</t>
    <rPh sb="1" eb="3">
      <t>タイサク</t>
    </rPh>
    <phoneticPr fontId="5"/>
  </si>
  <si>
    <t>　　　　＝</t>
    <phoneticPr fontId="5"/>
  </si>
  <si>
    <r>
      <t>Ｑ単位＝</t>
    </r>
    <r>
      <rPr>
        <sz val="5"/>
        <rFont val="Calibri"/>
        <family val="2"/>
        <charset val="161"/>
      </rPr>
      <t>α</t>
    </r>
    <r>
      <rPr>
        <sz val="5"/>
        <rFont val="Calibri"/>
        <family val="2"/>
      </rPr>
      <t>×</t>
    </r>
    <r>
      <rPr>
        <sz val="5"/>
        <rFont val="HGPｺﾞｼｯｸM"/>
        <family val="3"/>
        <charset val="128"/>
      </rPr>
      <t>Ｑf</t>
    </r>
    <rPh sb="1" eb="3">
      <t>タンイ</t>
    </rPh>
    <phoneticPr fontId="5"/>
  </si>
  <si>
    <t>Ｑ単位＝</t>
    <rPh sb="1" eb="3">
      <t>タンイ</t>
    </rPh>
    <phoneticPr fontId="5"/>
  </si>
  <si>
    <r>
      <t>Ｑ設計＝Ｑ単位</t>
    </r>
    <r>
      <rPr>
        <sz val="5"/>
        <rFont val="Calibri"/>
        <family val="2"/>
      </rPr>
      <t>×</t>
    </r>
    <r>
      <rPr>
        <sz val="5"/>
        <rFont val="HGPｺﾞｼｯｸM"/>
        <family val="3"/>
        <charset val="128"/>
      </rPr>
      <t>ｎ</t>
    </r>
    <rPh sb="1" eb="3">
      <t>セッケイ</t>
    </rPh>
    <rPh sb="5" eb="7">
      <t>タンイ</t>
    </rPh>
    <phoneticPr fontId="5"/>
  </si>
  <si>
    <t>Ｑ設計＝</t>
    <rPh sb="1" eb="3">
      <t>セッケイ</t>
    </rPh>
    <phoneticPr fontId="5"/>
  </si>
  <si>
    <t>ERR：1～8を入力して下さい</t>
    <phoneticPr fontId="5"/>
  </si>
  <si>
    <t>③対策降雨強度
（㎜/h）</t>
    <rPh sb="1" eb="3">
      <t>タイサク</t>
    </rPh>
    <rPh sb="3" eb="5">
      <t>コウウ</t>
    </rPh>
    <rPh sb="5" eb="7">
      <t>キョウド</t>
    </rPh>
    <phoneticPr fontId="5"/>
  </si>
  <si>
    <t>④土壌
（番号選択）</t>
    <rPh sb="1" eb="3">
      <t>ドジョウ</t>
    </rPh>
    <rPh sb="5" eb="7">
      <t>バンゴウ</t>
    </rPh>
    <rPh sb="7" eb="9">
      <t>センタク</t>
    </rPh>
    <phoneticPr fontId="5"/>
  </si>
  <si>
    <t>②対策施設面積
（㎡）</t>
    <rPh sb="1" eb="3">
      <t>タイサク</t>
    </rPh>
    <rPh sb="3" eb="5">
      <t>シセツ</t>
    </rPh>
    <rPh sb="5" eb="7">
      <t>メンセキ</t>
    </rPh>
    <phoneticPr fontId="5"/>
  </si>
  <si>
    <t>①対策施設選定
（番号選択）
※流出係数算出</t>
    <rPh sb="1" eb="3">
      <t>タイサク</t>
    </rPh>
    <rPh sb="3" eb="5">
      <t>シセツ</t>
    </rPh>
    <rPh sb="5" eb="7">
      <t>センテイ</t>
    </rPh>
    <rPh sb="9" eb="11">
      <t>バンゴウ</t>
    </rPh>
    <rPh sb="11" eb="13">
      <t>センタク</t>
    </rPh>
    <rPh sb="16" eb="18">
      <t>リュウシュツ</t>
    </rPh>
    <rPh sb="18" eb="20">
      <t>ケイスウ</t>
    </rPh>
    <rPh sb="20" eb="22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</si>
</sst>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0_ "/>
    <numFmt numFmtId="178" formatCode="0.000_ "/>
    <numFmt numFmtId="179" formatCode="0.000"/>
  </numFmts>
  <fonts count="33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6"/>
      <color indexed="81"/>
      <name val="ＭＳ Ｐゴシック"/>
      <family val="3"/>
      <charset val="128"/>
    </font>
    <font>
      <sz val="5"/>
      <name val="HGPｺﾞｼｯｸM"/>
      <family val="3"/>
      <charset val="128"/>
    </font>
    <font>
      <sz val="8"/>
      <name val="HGPｺﾞｼｯｸM"/>
      <family val="3"/>
      <charset val="128"/>
    </font>
    <font>
      <b/>
      <sz val="8"/>
      <color indexed="12"/>
      <name val="HGPｺﾞｼｯｸM"/>
      <family val="3"/>
      <charset val="128"/>
    </font>
    <font>
      <b/>
      <sz val="10"/>
      <color indexed="12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b/>
      <sz val="8"/>
      <color indexed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0"/>
      <name val="HGPｺﾞｼｯｸM"/>
      <family val="3"/>
      <charset val="128"/>
    </font>
    <font>
      <vertAlign val="superscript"/>
      <sz val="5"/>
      <name val="HGPｺﾞｼｯｸM"/>
      <family val="3"/>
      <charset val="128"/>
    </font>
    <font>
      <sz val="5"/>
      <color indexed="8"/>
      <name val="HGPｺﾞｼｯｸM"/>
      <family val="3"/>
      <charset val="128"/>
    </font>
    <font>
      <sz val="5"/>
      <color indexed="10"/>
      <name val="HGPｺﾞｼｯｸM"/>
      <family val="3"/>
      <charset val="128"/>
    </font>
    <font>
      <sz val="14"/>
      <color indexed="57"/>
      <name val="HGPｺﾞｼｯｸM"/>
      <family val="3"/>
      <charset val="128"/>
    </font>
    <font>
      <b/>
      <sz val="6"/>
      <color indexed="81"/>
      <name val="HGSｺﾞｼｯｸM"/>
      <family val="3"/>
      <charset val="128"/>
    </font>
    <font>
      <b/>
      <sz val="6"/>
      <color indexed="81"/>
      <name val="HGPｺﾞｼｯｸM"/>
      <family val="3"/>
      <charset val="128"/>
    </font>
    <font>
      <sz val="6"/>
      <color indexed="81"/>
      <name val="HGPｺﾞｼｯｸM"/>
      <family val="3"/>
      <charset val="128"/>
    </font>
    <font>
      <sz val="6"/>
      <color indexed="81"/>
      <name val="ＭＳ Ｐゴシック"/>
      <family val="3"/>
      <charset val="128"/>
    </font>
    <font>
      <sz val="6"/>
      <name val="HGPｺﾞｼｯｸM"/>
      <family val="3"/>
      <charset val="128"/>
    </font>
    <font>
      <vertAlign val="superscript"/>
      <sz val="12"/>
      <name val="ＭＳ Ｐゴシック"/>
      <family val="3"/>
      <charset val="128"/>
    </font>
    <font>
      <sz val="5"/>
      <name val="Calibri"/>
      <family val="2"/>
    </font>
    <font>
      <sz val="5"/>
      <name val="Calibri"/>
      <family val="2"/>
      <charset val="161"/>
    </font>
    <font>
      <sz val="8"/>
      <color rgb="FF009900"/>
      <name val="HGPｺﾞｼｯｸM"/>
      <family val="3"/>
      <charset val="128"/>
    </font>
    <font>
      <b/>
      <sz val="8"/>
      <color rgb="FF009900"/>
      <name val="HGPｺﾞｼｯｸM"/>
      <family val="3"/>
      <charset val="128"/>
    </font>
    <font>
      <sz val="5"/>
      <color theme="9" tint="-0.249977111117893"/>
      <name val="HGPｺﾞｼｯｸM"/>
      <family val="3"/>
      <charset val="128"/>
    </font>
    <font>
      <sz val="5"/>
      <color rgb="FF7030A0"/>
      <name val="HGPｺﾞｼｯｸM"/>
      <family val="3"/>
      <charset val="128"/>
    </font>
    <font>
      <b/>
      <sz val="10"/>
      <color rgb="FF0000FF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dashDotDot">
        <color theme="1"/>
      </left>
      <right/>
      <top/>
      <bottom/>
      <diagonal/>
    </border>
    <border>
      <left/>
      <right style="dashDotDot">
        <color theme="1"/>
      </right>
      <top/>
      <bottom/>
      <diagonal/>
    </border>
    <border>
      <left style="dashDotDot">
        <color theme="1"/>
      </left>
      <right/>
      <top/>
      <bottom style="dashDotDot">
        <color theme="1"/>
      </bottom>
      <diagonal/>
    </border>
    <border>
      <left/>
      <right/>
      <top/>
      <bottom style="dashDotDot">
        <color theme="1"/>
      </bottom>
      <diagonal/>
    </border>
    <border>
      <left/>
      <right style="dashDotDot">
        <color theme="1"/>
      </right>
      <top/>
      <bottom style="dashDotDot">
        <color theme="1"/>
      </bottom>
      <diagonal/>
    </border>
    <border>
      <left style="dashDotDot">
        <color theme="1"/>
      </left>
      <right/>
      <top style="dashDotDot">
        <color theme="1"/>
      </top>
      <bottom/>
      <diagonal/>
    </border>
    <border>
      <left/>
      <right/>
      <top style="dashDotDot">
        <color theme="1"/>
      </top>
      <bottom/>
      <diagonal/>
    </border>
    <border>
      <left/>
      <right style="dashDotDot">
        <color theme="1"/>
      </right>
      <top style="dashDotDot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/>
      <diagonal/>
    </border>
    <border>
      <left style="medium">
        <color indexed="12"/>
      </left>
      <right style="medium">
        <color theme="1"/>
      </right>
      <top style="medium">
        <color indexed="8"/>
      </top>
      <bottom/>
      <diagonal/>
    </border>
    <border>
      <left style="medium">
        <color indexed="12"/>
      </left>
      <right style="medium">
        <color theme="1"/>
      </right>
      <top/>
      <bottom/>
      <diagonal/>
    </border>
    <border>
      <left style="medium">
        <color indexed="12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1" fontId="1" fillId="0" borderId="0"/>
  </cellStyleXfs>
  <cellXfs count="172">
    <xf numFmtId="0" fontId="0" fillId="0" borderId="0" xfId="0"/>
    <xf numFmtId="0" fontId="2" fillId="0" borderId="1" xfId="0" applyFont="1" applyBorder="1"/>
    <xf numFmtId="0" fontId="4" fillId="0" borderId="2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/>
    <xf numFmtId="177" fontId="0" fillId="0" borderId="4" xfId="0" applyNumberFormat="1" applyBorder="1" applyAlignment="1">
      <alignment horizontal="center"/>
    </xf>
    <xf numFmtId="178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/>
    <xf numFmtId="0" fontId="2" fillId="0" borderId="7" xfId="0" applyFont="1" applyBorder="1"/>
    <xf numFmtId="37" fontId="2" fillId="0" borderId="7" xfId="0" applyNumberFormat="1" applyFont="1" applyBorder="1" applyProtection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59" xfId="0" applyFont="1" applyFill="1" applyBorder="1" applyAlignment="1" applyProtection="1">
      <alignment horizontal="center" vertical="center"/>
    </xf>
    <xf numFmtId="0" fontId="9" fillId="0" borderId="6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shrinkToFit="1"/>
    </xf>
    <xf numFmtId="0" fontId="13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wrapText="1"/>
    </xf>
    <xf numFmtId="0" fontId="9" fillId="0" borderId="1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9" fillId="0" borderId="15" xfId="0" applyFont="1" applyFill="1" applyBorder="1" applyAlignment="1" applyProtection="1"/>
    <xf numFmtId="0" fontId="9" fillId="0" borderId="16" xfId="0" applyFont="1" applyFill="1" applyBorder="1" applyAlignment="1" applyProtection="1"/>
    <xf numFmtId="0" fontId="9" fillId="0" borderId="17" xfId="0" applyFont="1" applyFill="1" applyBorder="1" applyAlignment="1" applyProtection="1"/>
    <xf numFmtId="0" fontId="9" fillId="0" borderId="15" xfId="0" applyFont="1" applyFill="1" applyBorder="1" applyAlignment="1" applyProtection="1">
      <alignment horizontal="center"/>
    </xf>
    <xf numFmtId="176" fontId="9" fillId="0" borderId="15" xfId="0" applyNumberFormat="1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/>
    <xf numFmtId="0" fontId="8" fillId="0" borderId="19" xfId="0" applyFont="1" applyFill="1" applyBorder="1" applyAlignment="1" applyProtection="1">
      <alignment horizontal="right"/>
    </xf>
    <xf numFmtId="0" fontId="8" fillId="0" borderId="19" xfId="0" applyFont="1" applyFill="1" applyBorder="1" applyAlignment="1" applyProtection="1"/>
    <xf numFmtId="0" fontId="8" fillId="0" borderId="20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23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/>
    <xf numFmtId="0" fontId="8" fillId="0" borderId="22" xfId="0" applyFont="1" applyFill="1" applyBorder="1" applyAlignment="1" applyProtection="1"/>
    <xf numFmtId="0" fontId="8" fillId="0" borderId="24" xfId="0" applyFont="1" applyFill="1" applyBorder="1" applyAlignment="1" applyProtection="1"/>
    <xf numFmtId="0" fontId="8" fillId="0" borderId="22" xfId="0" applyFont="1" applyFill="1" applyBorder="1" applyAlignment="1" applyProtection="1">
      <alignment horizontal="center"/>
    </xf>
    <xf numFmtId="0" fontId="8" fillId="0" borderId="25" xfId="0" applyFont="1" applyFill="1" applyBorder="1" applyAlignment="1" applyProtection="1">
      <alignment horizontal="right"/>
    </xf>
    <xf numFmtId="0" fontId="8" fillId="0" borderId="19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horizontal="center"/>
    </xf>
    <xf numFmtId="0" fontId="8" fillId="0" borderId="27" xfId="0" applyFont="1" applyFill="1" applyBorder="1" applyAlignment="1" applyProtection="1">
      <alignment horizontal="right"/>
    </xf>
    <xf numFmtId="0" fontId="8" fillId="0" borderId="28" xfId="0" applyFont="1" applyFill="1" applyBorder="1" applyAlignment="1" applyProtection="1">
      <alignment horizontal="left"/>
    </xf>
    <xf numFmtId="0" fontId="8" fillId="0" borderId="29" xfId="0" applyFont="1" applyFill="1" applyBorder="1" applyAlignment="1" applyProtection="1">
      <alignment horizontal="right"/>
    </xf>
    <xf numFmtId="0" fontId="8" fillId="0" borderId="29" xfId="0" applyFont="1" applyFill="1" applyBorder="1" applyAlignment="1" applyProtection="1"/>
    <xf numFmtId="0" fontId="8" fillId="0" borderId="25" xfId="0" applyFont="1" applyFill="1" applyBorder="1" applyAlignment="1" applyProtection="1">
      <alignment horizontal="left"/>
    </xf>
    <xf numFmtId="0" fontId="8" fillId="0" borderId="25" xfId="0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/>
    <xf numFmtId="0" fontId="8" fillId="0" borderId="30" xfId="0" applyFont="1" applyFill="1" applyBorder="1" applyAlignment="1" applyProtection="1"/>
    <xf numFmtId="0" fontId="8" fillId="0" borderId="26" xfId="0" applyFont="1" applyFill="1" applyBorder="1" applyAlignment="1" applyProtection="1"/>
    <xf numFmtId="0" fontId="8" fillId="0" borderId="25" xfId="0" applyFont="1" applyFill="1" applyBorder="1" applyAlignment="1" applyProtection="1"/>
    <xf numFmtId="0" fontId="8" fillId="0" borderId="32" xfId="0" applyFont="1" applyFill="1" applyBorder="1" applyAlignment="1" applyProtection="1"/>
    <xf numFmtId="0" fontId="8" fillId="0" borderId="21" xfId="0" applyFont="1" applyFill="1" applyBorder="1" applyAlignment="1" applyProtection="1">
      <alignment horizontal="left"/>
    </xf>
    <xf numFmtId="0" fontId="8" fillId="0" borderId="33" xfId="0" applyFont="1" applyFill="1" applyBorder="1" applyAlignment="1" applyProtection="1">
      <alignment horizontal="right"/>
    </xf>
    <xf numFmtId="0" fontId="8" fillId="0" borderId="34" xfId="0" applyFont="1" applyFill="1" applyBorder="1" applyAlignment="1" applyProtection="1"/>
    <xf numFmtId="0" fontId="8" fillId="0" borderId="33" xfId="0" applyFont="1" applyFill="1" applyBorder="1" applyAlignment="1" applyProtection="1">
      <alignment horizontal="left"/>
    </xf>
    <xf numFmtId="0" fontId="8" fillId="0" borderId="33" xfId="0" applyFont="1" applyFill="1" applyBorder="1" applyAlignment="1" applyProtection="1">
      <alignment horizontal="center"/>
    </xf>
    <xf numFmtId="0" fontId="8" fillId="0" borderId="35" xfId="0" applyFont="1" applyFill="1" applyBorder="1" applyAlignment="1" applyProtection="1">
      <alignment horizontal="right"/>
    </xf>
    <xf numFmtId="0" fontId="8" fillId="0" borderId="34" xfId="0" applyFont="1" applyFill="1" applyBorder="1" applyAlignment="1" applyProtection="1">
      <alignment horizontal="center"/>
    </xf>
    <xf numFmtId="0" fontId="8" fillId="0" borderId="36" xfId="0" applyFont="1" applyFill="1" applyBorder="1" applyAlignment="1" applyProtection="1"/>
    <xf numFmtId="0" fontId="8" fillId="0" borderId="35" xfId="0" applyFont="1" applyFill="1" applyBorder="1" applyAlignment="1" applyProtection="1"/>
    <xf numFmtId="0" fontId="8" fillId="0" borderId="33" xfId="0" applyFont="1" applyFill="1" applyBorder="1" applyAlignment="1" applyProtection="1"/>
    <xf numFmtId="0" fontId="8" fillId="0" borderId="37" xfId="0" applyFont="1" applyFill="1" applyBorder="1" applyAlignment="1" applyProtection="1"/>
    <xf numFmtId="0" fontId="14" fillId="3" borderId="38" xfId="0" applyFont="1" applyFill="1" applyBorder="1" applyAlignment="1" applyProtection="1">
      <alignment horizontal="center" vertical="center"/>
    </xf>
    <xf numFmtId="0" fontId="14" fillId="3" borderId="39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  <protection locked="0"/>
    </xf>
    <xf numFmtId="0" fontId="24" fillId="0" borderId="66" xfId="0" applyFont="1" applyFill="1" applyBorder="1" applyAlignment="1" applyProtection="1">
      <alignment horizontal="center" vertical="center" shrinkToFit="1"/>
    </xf>
    <xf numFmtId="0" fontId="24" fillId="0" borderId="67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/>
    <xf numFmtId="0" fontId="9" fillId="0" borderId="71" xfId="0" applyFont="1" applyFill="1" applyBorder="1" applyAlignment="1" applyProtection="1">
      <alignment horizontal="center" vertical="center" shrinkToFit="1"/>
    </xf>
    <xf numFmtId="0" fontId="29" fillId="0" borderId="71" xfId="0" applyFont="1" applyFill="1" applyBorder="1" applyAlignment="1" applyProtection="1">
      <alignment horizontal="center" vertical="center"/>
    </xf>
    <xf numFmtId="0" fontId="9" fillId="0" borderId="72" xfId="0" applyFont="1" applyFill="1" applyBorder="1" applyAlignment="1" applyProtection="1"/>
    <xf numFmtId="0" fontId="0" fillId="0" borderId="76" xfId="0" applyBorder="1"/>
    <xf numFmtId="0" fontId="0" fillId="0" borderId="77" xfId="0" applyBorder="1"/>
    <xf numFmtId="0" fontId="0" fillId="0" borderId="78" xfId="0" applyBorder="1" applyAlignment="1">
      <alignment horizontal="center"/>
    </xf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0" xfId="0" applyBorder="1" applyAlignment="1">
      <alignment horizontal="center"/>
    </xf>
    <xf numFmtId="2" fontId="0" fillId="0" borderId="81" xfId="0" applyNumberFormat="1" applyBorder="1" applyAlignment="1">
      <alignment horizontal="center"/>
    </xf>
    <xf numFmtId="2" fontId="0" fillId="0" borderId="80" xfId="0" applyNumberFormat="1" applyBorder="1" applyAlignment="1">
      <alignment horizont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1" xfId="0" applyBorder="1" applyAlignment="1">
      <alignment horizontal="center"/>
    </xf>
    <xf numFmtId="0" fontId="9" fillId="0" borderId="71" xfId="0" applyFont="1" applyFill="1" applyBorder="1" applyAlignment="1" applyProtection="1"/>
    <xf numFmtId="0" fontId="0" fillId="0" borderId="80" xfId="0" applyFont="1" applyBorder="1"/>
    <xf numFmtId="0" fontId="0" fillId="0" borderId="83" xfId="0" applyFont="1" applyBorder="1"/>
    <xf numFmtId="2" fontId="8" fillId="7" borderId="87" xfId="0" applyNumberFormat="1" applyFont="1" applyFill="1" applyBorder="1" applyAlignment="1" applyProtection="1">
      <alignment horizontal="center"/>
    </xf>
    <xf numFmtId="179" fontId="8" fillId="0" borderId="0" xfId="0" applyNumberFormat="1" applyFont="1" applyFill="1" applyBorder="1" applyAlignment="1" applyProtection="1"/>
    <xf numFmtId="0" fontId="9" fillId="0" borderId="6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/>
    <xf numFmtId="0" fontId="8" fillId="0" borderId="73" xfId="0" applyFont="1" applyFill="1" applyBorder="1" applyAlignment="1" applyProtection="1">
      <alignment horizontal="center" vertical="center"/>
    </xf>
    <xf numFmtId="0" fontId="8" fillId="0" borderId="74" xfId="0" applyFont="1" applyFill="1" applyBorder="1" applyAlignment="1" applyProtection="1"/>
    <xf numFmtId="0" fontId="8" fillId="0" borderId="75" xfId="0" applyFont="1" applyFill="1" applyBorder="1" applyAlignment="1" applyProtection="1"/>
    <xf numFmtId="0" fontId="9" fillId="0" borderId="68" xfId="0" applyFont="1" applyFill="1" applyBorder="1" applyAlignment="1" applyProtection="1">
      <alignment horizontal="center" vertical="center"/>
    </xf>
    <xf numFmtId="0" fontId="9" fillId="0" borderId="69" xfId="0" applyFont="1" applyFill="1" applyBorder="1" applyAlignment="1" applyProtection="1">
      <alignment horizontal="center" vertical="center"/>
    </xf>
    <xf numFmtId="0" fontId="9" fillId="0" borderId="69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 vertical="center" shrinkToFit="1"/>
    </xf>
    <xf numFmtId="0" fontId="12" fillId="0" borderId="6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0" fillId="0" borderId="69" xfId="0" applyFont="1" applyFill="1" applyBorder="1" applyAlignment="1" applyProtection="1">
      <alignment horizontal="center"/>
    </xf>
    <xf numFmtId="0" fontId="9" fillId="0" borderId="7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179" fontId="31" fillId="6" borderId="86" xfId="0" applyNumberFormat="1" applyFont="1" applyFill="1" applyBorder="1" applyAlignment="1" applyProtection="1">
      <alignment horizontal="center"/>
    </xf>
    <xf numFmtId="179" fontId="30" fillId="5" borderId="85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79" fontId="17" fillId="0" borderId="0" xfId="0" applyNumberFormat="1" applyFont="1" applyFill="1" applyBorder="1" applyAlignment="1" applyProtection="1">
      <alignment horizontal="center"/>
    </xf>
    <xf numFmtId="0" fontId="17" fillId="0" borderId="25" xfId="0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/>
    <xf numFmtId="0" fontId="18" fillId="0" borderId="0" xfId="0" applyFont="1" applyFill="1" applyBorder="1" applyAlignment="1" applyProtection="1"/>
    <xf numFmtId="0" fontId="17" fillId="0" borderId="33" xfId="0" applyFont="1" applyFill="1" applyBorder="1" applyAlignment="1" applyProtection="1">
      <alignment horizontal="center"/>
    </xf>
    <xf numFmtId="179" fontId="17" fillId="0" borderId="33" xfId="0" applyNumberFormat="1" applyFont="1" applyFill="1" applyBorder="1" applyAlignment="1" applyProtection="1">
      <alignment horizontal="center"/>
    </xf>
    <xf numFmtId="0" fontId="29" fillId="2" borderId="62" xfId="0" applyFont="1" applyFill="1" applyBorder="1" applyAlignment="1" applyProtection="1">
      <alignment horizontal="center" vertical="center"/>
      <protection locked="0"/>
    </xf>
    <xf numFmtId="0" fontId="29" fillId="2" borderId="63" xfId="0" applyFont="1" applyFill="1" applyBorder="1" applyAlignment="1" applyProtection="1">
      <alignment horizontal="center" vertical="center"/>
      <protection locked="0"/>
    </xf>
    <xf numFmtId="0" fontId="29" fillId="2" borderId="64" xfId="0" applyFont="1" applyFill="1" applyBorder="1" applyAlignment="1" applyProtection="1">
      <alignment horizontal="center" vertical="center"/>
      <protection locked="0"/>
    </xf>
    <xf numFmtId="0" fontId="29" fillId="2" borderId="65" xfId="0" applyFont="1" applyFill="1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/>
    </xf>
    <xf numFmtId="0" fontId="9" fillId="0" borderId="45" xfId="0" applyFont="1" applyFill="1" applyBorder="1" applyAlignment="1" applyProtection="1">
      <alignment horizontal="center" vertical="center" textRotation="255"/>
    </xf>
    <xf numFmtId="0" fontId="9" fillId="0" borderId="46" xfId="0" applyFont="1" applyFill="1" applyBorder="1" applyAlignment="1" applyProtection="1">
      <alignment horizontal="center" vertical="center" textRotation="255"/>
    </xf>
    <xf numFmtId="0" fontId="15" fillId="0" borderId="43" xfId="0" applyFont="1" applyFill="1" applyBorder="1" applyAlignment="1" applyProtection="1">
      <alignment horizontal="center"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center" vertical="center" wrapText="1"/>
    </xf>
    <xf numFmtId="0" fontId="9" fillId="0" borderId="60" xfId="0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0" fontId="9" fillId="0" borderId="88" xfId="0" applyFont="1" applyFill="1" applyBorder="1" applyAlignment="1" applyProtection="1">
      <alignment horizontal="center" vertical="center"/>
    </xf>
    <xf numFmtId="0" fontId="11" fillId="4" borderId="47" xfId="0" applyFont="1" applyFill="1" applyBorder="1" applyAlignment="1" applyProtection="1">
      <alignment horizontal="center" vertical="center"/>
      <protection locked="0"/>
    </xf>
    <xf numFmtId="0" fontId="11" fillId="4" borderId="48" xfId="0" applyFont="1" applyFill="1" applyBorder="1" applyAlignment="1" applyProtection="1">
      <alignment horizontal="center" vertical="center"/>
      <protection locked="0"/>
    </xf>
    <xf numFmtId="0" fontId="11" fillId="4" borderId="49" xfId="0" applyFont="1" applyFill="1" applyBorder="1" applyAlignment="1" applyProtection="1">
      <alignment horizontal="center" vertical="center"/>
      <protection locked="0"/>
    </xf>
    <xf numFmtId="0" fontId="12" fillId="0" borderId="89" xfId="0" applyFont="1" applyFill="1" applyBorder="1" applyAlignment="1" applyProtection="1">
      <alignment horizontal="center" vertical="center" shrinkToFit="1"/>
    </xf>
    <xf numFmtId="0" fontId="12" fillId="0" borderId="90" xfId="0" applyFont="1" applyFill="1" applyBorder="1" applyAlignment="1" applyProtection="1">
      <alignment horizontal="center" vertical="center" shrinkToFit="1"/>
    </xf>
    <xf numFmtId="0" fontId="12" fillId="0" borderId="91" xfId="0" applyFont="1" applyFill="1" applyBorder="1" applyAlignment="1" applyProtection="1">
      <alignment horizontal="center" vertical="center" shrinkToFit="1"/>
    </xf>
    <xf numFmtId="0" fontId="11" fillId="4" borderId="50" xfId="0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 applyProtection="1">
      <alignment horizontal="center" vertical="center"/>
      <protection locked="0"/>
    </xf>
    <xf numFmtId="0" fontId="32" fillId="4" borderId="54" xfId="0" applyFont="1" applyFill="1" applyBorder="1" applyAlignment="1" applyProtection="1">
      <alignment horizontal="center" vertical="center"/>
      <protection locked="0"/>
    </xf>
    <xf numFmtId="0" fontId="32" fillId="4" borderId="55" xfId="0" applyFont="1" applyFill="1" applyBorder="1" applyAlignment="1" applyProtection="1">
      <alignment horizontal="center" vertical="center"/>
      <protection locked="0"/>
    </xf>
    <xf numFmtId="0" fontId="32" fillId="4" borderId="52" xfId="0" applyFont="1" applyFill="1" applyBorder="1" applyAlignment="1" applyProtection="1">
      <alignment horizontal="center" vertical="center"/>
      <protection locked="0"/>
    </xf>
    <xf numFmtId="0" fontId="32" fillId="4" borderId="53" xfId="0" applyFont="1" applyFill="1" applyBorder="1" applyAlignment="1" applyProtection="1">
      <alignment horizontal="center" vertical="center"/>
      <protection locked="0"/>
    </xf>
    <xf numFmtId="0" fontId="32" fillId="4" borderId="56" xfId="0" applyFont="1" applyFill="1" applyBorder="1" applyAlignment="1" applyProtection="1">
      <alignment horizontal="center" vertical="center"/>
      <protection locked="0"/>
    </xf>
    <xf numFmtId="0" fontId="32" fillId="4" borderId="57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0" fillId="0" borderId="77" xfId="0" applyBorder="1" applyAlignment="1">
      <alignment horizont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3</xdr:row>
      <xdr:rowOff>85725</xdr:rowOff>
    </xdr:from>
    <xdr:to>
      <xdr:col>16</xdr:col>
      <xdr:colOff>419100</xdr:colOff>
      <xdr:row>14</xdr:row>
      <xdr:rowOff>9525</xdr:rowOff>
    </xdr:to>
    <xdr:pic>
      <xdr:nvPicPr>
        <xdr:cNvPr id="1310" name="Picture 29">
          <a:extLst>
            <a:ext uri="{FF2B5EF4-FFF2-40B4-BE49-F238E27FC236}">
              <a16:creationId xmlns:a16="http://schemas.microsoft.com/office/drawing/2014/main" id="{AF609ADE-99A8-4D2E-9357-EA4312A4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8625"/>
          <a:ext cx="2200275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71437</xdr:colOff>
      <xdr:row>1</xdr:row>
      <xdr:rowOff>4763</xdr:rowOff>
    </xdr:from>
    <xdr:to>
      <xdr:col>24</xdr:col>
      <xdr:colOff>352424</xdr:colOff>
      <xdr:row>20</xdr:row>
      <xdr:rowOff>128588</xdr:rowOff>
    </xdr:to>
    <xdr:sp macro="" textlink="">
      <xdr:nvSpPr>
        <xdr:cNvPr id="1059" name="Rectangle 35">
          <a:extLst>
            <a:ext uri="{FF2B5EF4-FFF2-40B4-BE49-F238E27FC236}">
              <a16:creationId xmlns:a16="http://schemas.microsoft.com/office/drawing/2014/main" id="{5F2621F0-BE6A-49F1-AD3A-F8DADB7BDC7E}"/>
            </a:ext>
          </a:extLst>
        </xdr:cNvPr>
        <xdr:cNvSpPr>
          <a:spLocks noChangeArrowheads="1"/>
        </xdr:cNvSpPr>
      </xdr:nvSpPr>
      <xdr:spPr bwMode="auto">
        <a:xfrm>
          <a:off x="6253162" y="242888"/>
          <a:ext cx="3386137" cy="256222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endParaRPr lang="en-US" altLang="ja-JP" sz="700" b="1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■選定の基本条件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(1)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選定施設最大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ヶ所合計の雨水処理に対する計算とします。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(2)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設置する雨水浸透マスの蓋は密閉式とします。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(3)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雨水浸透ますの接続は、VU管とします。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(4)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砕石部の適用範囲は設計水頭：Ｈ≦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1.5m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、施設幅：Ｗ≦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1.0m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です。</a:t>
          </a:r>
          <a:endParaRPr lang="en-US" altLang="ja-JP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適用範囲を超える場合、計算式が変わりますのでご注意ください。</a:t>
          </a:r>
          <a:endParaRPr lang="en-US" altLang="ja-JP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</a:t>
          </a:r>
          <a:endParaRPr lang="en-US" altLang="ja-JP" sz="700" b="0" i="0" baseline="0"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■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選定方法</a:t>
          </a:r>
          <a:endParaRPr lang="ja-JP" altLang="ja-JP" sz="700" b="1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１．下記の選定条件を、表の</a:t>
          </a:r>
          <a:r>
            <a:rPr lang="ja-JP" altLang="ja-JP" sz="700" b="0" i="0" baseline="0">
              <a:solidFill>
                <a:srgbClr val="0000FF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青</a:t>
          </a:r>
          <a:r>
            <a:rPr lang="ja-JP" altLang="en-US" sz="700" b="0" i="0" baseline="0">
              <a:solidFill>
                <a:srgbClr val="0000FF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枠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に入力して下さい。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①対策施設選定（流出係数算出）</a:t>
          </a:r>
          <a:endParaRPr lang="en-US" altLang="ja-JP" sz="700" b="0" i="0" baseline="0"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rtl="0" eaLnBrk="1" fontAlgn="auto" latinLnBrk="0" hangingPunct="1"/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　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1: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屋根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2: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道路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3: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その他の不透面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4: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水面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5: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間地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6: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芝、樹木の多い公園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 eaLnBrk="1" fontAlgn="auto" latinLnBrk="0" hangingPunct="1"/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　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7: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勾配の緩い山地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8: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勾配の急な山地</a:t>
          </a:r>
          <a:endParaRPr lang="en-US" altLang="ja-JP" sz="700" b="1" i="0" baseline="0"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</a:t>
          </a:r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②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対策</a:t>
          </a:r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施設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面積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③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対策降雨強度＝その地域の平均降雨量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④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土壌（雨水浸透ますの周りの土質）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　　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1: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粘土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2: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シルト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3: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微細砂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4: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細砂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5: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中砂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6: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粗砂　</a:t>
          </a:r>
          <a:r>
            <a:rPr lang="en-US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7:</a:t>
          </a:r>
          <a:r>
            <a:rPr lang="ja-JP" altLang="ja-JP" sz="700" b="1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小砂利</a:t>
          </a:r>
          <a:endParaRPr lang="ja-JP" altLang="ja-JP" sz="700" b="1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２．砕石部の大きさが初期値と違う場合は、表の</a:t>
          </a:r>
          <a:r>
            <a:rPr lang="ja-JP" altLang="ja-JP" sz="700" b="0" i="0" baseline="0">
              <a:solidFill>
                <a:srgbClr val="0099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緑</a:t>
          </a:r>
          <a:r>
            <a:rPr lang="ja-JP" altLang="en-US" sz="700" b="0" i="0" baseline="0">
              <a:solidFill>
                <a:srgbClr val="0099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枠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の数値を変更してください。</a:t>
          </a:r>
          <a:endParaRPr lang="ja-JP" altLang="ja-JP" sz="7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rtl="0"/>
          <a:r>
            <a:rPr lang="ja-JP" altLang="en-US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　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３．</a:t>
          </a:r>
          <a:r>
            <a:rPr lang="ja-JP" altLang="ja-JP" sz="7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雨水浸透マス設置数</a:t>
          </a:r>
          <a:r>
            <a:rPr lang="ja-JP" altLang="ja-JP" sz="700" b="0" i="0" baseline="0"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が算定されます。</a:t>
          </a:r>
          <a:endParaRPr lang="ja-JP" altLang="en-US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endParaRPr lang="en-US" altLang="ja-JP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■参考文献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・(公社)雨水貯留浸透技術協会　雨水浸透施設技術指針［案］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・(公社)日本下水道協会　下水道施設設計・設計指針と解説　20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年版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・塩化ビニル管・継手協会　雨水浸透ます技術資料</a:t>
          </a:r>
          <a:endParaRPr lang="en-US" altLang="ja-JP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G87"/>
  <sheetViews>
    <sheetView showGridLines="0" tabSelected="1" defaultGridColor="0" view="pageBreakPreview" colorId="22" zoomScale="130" zoomScaleNormal="200" zoomScaleSheetLayoutView="130" workbookViewId="0">
      <selection activeCell="E7" sqref="E7:F7"/>
    </sheetView>
  </sheetViews>
  <sheetFormatPr defaultColWidth="5.125" defaultRowHeight="9.9499999999999993" customHeight="1" x14ac:dyDescent="0.15"/>
  <cols>
    <col min="1" max="1" width="2.25" style="37" customWidth="1"/>
    <col min="2" max="2" width="2.375" style="35" bestFit="1" customWidth="1"/>
    <col min="3" max="10" width="6.125" style="37" customWidth="1"/>
    <col min="11" max="11" width="2.375" style="37" customWidth="1"/>
    <col min="12" max="12" width="4.25" style="37" bestFit="1" customWidth="1"/>
    <col min="13" max="13" width="7.25" style="37" bestFit="1" customWidth="1"/>
    <col min="14" max="14" width="5.75" style="37" bestFit="1" customWidth="1"/>
    <col min="15" max="15" width="3.75" style="19" bestFit="1" customWidth="1"/>
    <col min="16" max="16" width="3.75" style="37" bestFit="1" customWidth="1"/>
    <col min="17" max="17" width="5.75" style="37" bestFit="1" customWidth="1"/>
    <col min="18" max="18" width="9.375" style="37" customWidth="1"/>
    <col min="19" max="19" width="4" style="37" customWidth="1"/>
    <col min="20" max="20" width="3.75" style="37" bestFit="1" customWidth="1"/>
    <col min="21" max="21" width="5.75" style="19" bestFit="1" customWidth="1"/>
    <col min="22" max="22" width="11.375" style="37" bestFit="1" customWidth="1"/>
    <col min="23" max="23" width="4" style="37" customWidth="1"/>
    <col min="24" max="24" width="3.75" style="37" customWidth="1"/>
    <col min="25" max="25" width="4.75" style="37" bestFit="1" customWidth="1"/>
    <col min="26" max="16384" width="5.125" style="37"/>
  </cols>
  <sheetData>
    <row r="1" spans="2:26" ht="18.75" customHeight="1" x14ac:dyDescent="0.2">
      <c r="C1" s="114" t="s">
        <v>78</v>
      </c>
      <c r="U1" s="37"/>
      <c r="V1" s="154" t="s">
        <v>77</v>
      </c>
      <c r="W1" s="154"/>
      <c r="X1" s="151">
        <f ca="1">NOW()</f>
        <v>45134.485581828703</v>
      </c>
      <c r="Y1" s="151"/>
    </row>
    <row r="2" spans="2:26" ht="4.5" customHeight="1" x14ac:dyDescent="0.15">
      <c r="T2" s="19"/>
      <c r="V2" s="19"/>
      <c r="W2" s="19"/>
      <c r="X2" s="19"/>
      <c r="Y2" s="19"/>
      <c r="Z2" s="19"/>
    </row>
    <row r="3" spans="2:26" ht="3.75" customHeight="1" x14ac:dyDescent="0.15">
      <c r="B3" s="115"/>
      <c r="C3" s="116"/>
      <c r="D3" s="116"/>
      <c r="E3" s="116"/>
      <c r="F3" s="116"/>
      <c r="G3" s="116"/>
      <c r="H3" s="116"/>
      <c r="I3" s="116"/>
      <c r="J3" s="116"/>
      <c r="K3" s="117"/>
      <c r="T3" s="19"/>
      <c r="V3" s="19"/>
      <c r="W3" s="19"/>
      <c r="X3" s="19"/>
      <c r="Y3" s="19"/>
      <c r="Z3" s="19"/>
    </row>
    <row r="4" spans="2:26" s="21" customFormat="1" ht="11.25" thickBot="1" x14ac:dyDescent="0.2">
      <c r="B4" s="118"/>
      <c r="C4" s="20" t="s">
        <v>74</v>
      </c>
      <c r="K4" s="91"/>
      <c r="O4" s="22"/>
      <c r="T4" s="22"/>
    </row>
    <row r="5" spans="2:26" s="21" customFormat="1" ht="36" customHeight="1" thickBot="1" x14ac:dyDescent="0.2">
      <c r="B5" s="118"/>
      <c r="C5" s="149" t="s">
        <v>139</v>
      </c>
      <c r="D5" s="150"/>
      <c r="E5" s="149" t="s">
        <v>138</v>
      </c>
      <c r="F5" s="152"/>
      <c r="G5" s="150" t="s">
        <v>136</v>
      </c>
      <c r="H5" s="152"/>
      <c r="I5" s="150" t="s">
        <v>137</v>
      </c>
      <c r="J5" s="155"/>
      <c r="K5" s="119"/>
      <c r="L5" s="22"/>
      <c r="M5" s="120"/>
      <c r="Q5" s="22"/>
      <c r="V5" s="22"/>
    </row>
    <row r="6" spans="2:26" s="21" customFormat="1" ht="15.95" customHeight="1" thickBot="1" x14ac:dyDescent="0.2">
      <c r="B6" s="118">
        <v>1</v>
      </c>
      <c r="C6" s="88">
        <v>1</v>
      </c>
      <c r="D6" s="121" t="str">
        <f>LOOKUP(雨水浸透マスの選定!C6,選定条件!A21:B30)</f>
        <v>屋根</v>
      </c>
      <c r="E6" s="162">
        <v>100</v>
      </c>
      <c r="F6" s="163"/>
      <c r="G6" s="164">
        <v>20</v>
      </c>
      <c r="H6" s="165"/>
      <c r="I6" s="156">
        <v>3</v>
      </c>
      <c r="J6" s="159" t="str">
        <f>LOOKUP(雨水浸透マスの選定!I6,選定条件!A5:B14)</f>
        <v>微細砂</v>
      </c>
      <c r="K6" s="122"/>
      <c r="L6" s="123"/>
      <c r="M6" s="124"/>
      <c r="Q6" s="22"/>
      <c r="V6" s="22"/>
    </row>
    <row r="7" spans="2:26" s="21" customFormat="1" ht="15.95" customHeight="1" thickBot="1" x14ac:dyDescent="0.2">
      <c r="B7" s="118">
        <v>2</v>
      </c>
      <c r="C7" s="88"/>
      <c r="D7" s="121" t="str">
        <f>IF(C7="","",LOOKUP(雨水浸透マスの選定!C7,選定条件!A21:B30))</f>
        <v/>
      </c>
      <c r="E7" s="162"/>
      <c r="F7" s="163"/>
      <c r="G7" s="166"/>
      <c r="H7" s="167"/>
      <c r="I7" s="157"/>
      <c r="J7" s="160"/>
      <c r="K7" s="122"/>
      <c r="L7" s="123"/>
      <c r="M7" s="124"/>
      <c r="Q7" s="22"/>
      <c r="V7" s="22"/>
    </row>
    <row r="8" spans="2:26" s="21" customFormat="1" ht="15.95" customHeight="1" thickBot="1" x14ac:dyDescent="0.2">
      <c r="B8" s="118">
        <v>3</v>
      </c>
      <c r="C8" s="88"/>
      <c r="D8" s="121" t="str">
        <f>IF(C8="","",LOOKUP(雨水浸透マスの選定!C8,選定条件!A21:B30))</f>
        <v/>
      </c>
      <c r="E8" s="162"/>
      <c r="F8" s="163"/>
      <c r="G8" s="166"/>
      <c r="H8" s="167"/>
      <c r="I8" s="157"/>
      <c r="J8" s="160"/>
      <c r="K8" s="122"/>
      <c r="L8" s="123"/>
      <c r="M8" s="124"/>
      <c r="Q8" s="22"/>
      <c r="V8" s="22"/>
    </row>
    <row r="9" spans="2:26" s="21" customFormat="1" ht="15.95" customHeight="1" thickBot="1" x14ac:dyDescent="0.2">
      <c r="B9" s="118">
        <v>4</v>
      </c>
      <c r="C9" s="88"/>
      <c r="D9" s="121" t="str">
        <f>IF(C9="","",LOOKUP(雨水浸透マスの選定!C9,選定条件!A21:B30))</f>
        <v/>
      </c>
      <c r="E9" s="162"/>
      <c r="F9" s="163"/>
      <c r="G9" s="168"/>
      <c r="H9" s="169"/>
      <c r="I9" s="158"/>
      <c r="J9" s="161"/>
      <c r="K9" s="122"/>
      <c r="L9" s="123"/>
      <c r="M9" s="124"/>
      <c r="Q9" s="22"/>
      <c r="V9" s="22"/>
    </row>
    <row r="10" spans="2:26" s="21" customFormat="1" ht="7.5" customHeight="1" x14ac:dyDescent="0.15">
      <c r="B10" s="118"/>
      <c r="K10" s="91"/>
      <c r="M10" s="91"/>
      <c r="N10" s="23"/>
      <c r="O10" s="23"/>
      <c r="P10" s="23"/>
      <c r="Q10" s="22"/>
      <c r="V10" s="22"/>
    </row>
    <row r="11" spans="2:26" s="21" customFormat="1" ht="12" customHeight="1" thickBot="1" x14ac:dyDescent="0.2">
      <c r="B11" s="118"/>
      <c r="C11" s="24" t="s">
        <v>82</v>
      </c>
      <c r="I11" s="25" t="s">
        <v>83</v>
      </c>
      <c r="K11" s="91"/>
      <c r="L11" s="23"/>
      <c r="M11" s="23"/>
      <c r="N11" s="23"/>
      <c r="O11" s="22"/>
      <c r="T11" s="22"/>
    </row>
    <row r="12" spans="2:26" s="21" customFormat="1" ht="12" customHeight="1" thickBot="1" x14ac:dyDescent="0.2">
      <c r="B12" s="118"/>
      <c r="C12" s="26" t="s">
        <v>80</v>
      </c>
      <c r="D12" s="113">
        <v>150</v>
      </c>
      <c r="E12" s="113">
        <v>200</v>
      </c>
      <c r="F12" s="113">
        <v>250</v>
      </c>
      <c r="G12" s="113">
        <v>300</v>
      </c>
      <c r="H12" s="113">
        <v>350</v>
      </c>
      <c r="I12" s="27">
        <v>400</v>
      </c>
      <c r="K12" s="91"/>
      <c r="L12" s="23"/>
      <c r="M12" s="23"/>
      <c r="N12" s="23"/>
      <c r="O12" s="22"/>
      <c r="T12" s="22"/>
    </row>
    <row r="13" spans="2:26" s="21" customFormat="1" ht="12" customHeight="1" x14ac:dyDescent="0.15">
      <c r="B13" s="118"/>
      <c r="C13" s="89" t="s">
        <v>86</v>
      </c>
      <c r="D13" s="139">
        <v>0.5</v>
      </c>
      <c r="E13" s="139">
        <v>0.6</v>
      </c>
      <c r="F13" s="139">
        <v>0.7</v>
      </c>
      <c r="G13" s="139">
        <v>0.7</v>
      </c>
      <c r="H13" s="139">
        <v>0.8</v>
      </c>
      <c r="I13" s="140">
        <v>0.8</v>
      </c>
      <c r="K13" s="91"/>
      <c r="L13" s="23"/>
      <c r="M13" s="23"/>
      <c r="N13" s="23"/>
      <c r="O13" s="22"/>
      <c r="T13" s="22"/>
    </row>
    <row r="14" spans="2:26" s="21" customFormat="1" ht="12" customHeight="1" thickBot="1" x14ac:dyDescent="0.2">
      <c r="B14" s="118"/>
      <c r="C14" s="90" t="s">
        <v>87</v>
      </c>
      <c r="D14" s="141">
        <v>0.5</v>
      </c>
      <c r="E14" s="141">
        <v>0.6</v>
      </c>
      <c r="F14" s="141">
        <v>0.6</v>
      </c>
      <c r="G14" s="141">
        <v>0.7</v>
      </c>
      <c r="H14" s="141">
        <v>0.7</v>
      </c>
      <c r="I14" s="142">
        <v>0.8</v>
      </c>
      <c r="K14" s="91"/>
      <c r="L14" s="23"/>
      <c r="M14" s="23"/>
      <c r="N14" s="23"/>
      <c r="O14" s="22"/>
      <c r="T14" s="22"/>
    </row>
    <row r="15" spans="2:26" s="21" customFormat="1" ht="7.5" customHeight="1" x14ac:dyDescent="0.15">
      <c r="B15" s="125"/>
      <c r="C15" s="92"/>
      <c r="D15" s="93"/>
      <c r="E15" s="93"/>
      <c r="F15" s="93"/>
      <c r="G15" s="93"/>
      <c r="H15" s="93"/>
      <c r="I15" s="93"/>
      <c r="J15" s="108"/>
      <c r="K15" s="94"/>
      <c r="L15" s="23"/>
      <c r="M15" s="23"/>
      <c r="N15" s="23"/>
      <c r="O15" s="22"/>
      <c r="T15" s="22"/>
    </row>
    <row r="16" spans="2:26" s="21" customFormat="1" ht="7.5" customHeight="1" x14ac:dyDescent="0.15">
      <c r="B16" s="126"/>
      <c r="C16" s="28"/>
      <c r="L16" s="23"/>
      <c r="M16" s="23"/>
      <c r="N16" s="23"/>
      <c r="O16" s="22"/>
      <c r="T16" s="22"/>
    </row>
    <row r="17" spans="2:33" s="21" customFormat="1" ht="11.25" thickBot="1" x14ac:dyDescent="0.2">
      <c r="B17" s="126"/>
      <c r="C17" s="29" t="s">
        <v>79</v>
      </c>
      <c r="D17" s="23"/>
      <c r="E17" s="30"/>
      <c r="F17" s="30"/>
      <c r="G17" s="30"/>
      <c r="H17" s="30"/>
      <c r="I17" s="25" t="s">
        <v>84</v>
      </c>
      <c r="L17" s="23"/>
      <c r="M17" s="23"/>
      <c r="N17" s="23"/>
      <c r="O17" s="22"/>
      <c r="T17" s="22"/>
    </row>
    <row r="18" spans="2:33" s="21" customFormat="1" ht="15" customHeight="1" thickBot="1" x14ac:dyDescent="0.2">
      <c r="B18" s="126"/>
      <c r="C18" s="127" t="s">
        <v>80</v>
      </c>
      <c r="D18" s="113">
        <v>150</v>
      </c>
      <c r="E18" s="31">
        <v>200</v>
      </c>
      <c r="F18" s="31">
        <v>250</v>
      </c>
      <c r="G18" s="31">
        <v>300</v>
      </c>
      <c r="H18" s="31">
        <v>350</v>
      </c>
      <c r="I18" s="32">
        <v>400</v>
      </c>
      <c r="L18" s="30"/>
      <c r="M18" s="30"/>
      <c r="N18" s="30"/>
      <c r="O18" s="33"/>
      <c r="P18" s="30"/>
      <c r="Q18" s="30"/>
      <c r="R18" s="30"/>
      <c r="T18" s="22"/>
    </row>
    <row r="19" spans="2:33" s="21" customFormat="1" ht="20.100000000000001" customHeight="1" thickBot="1" x14ac:dyDescent="0.2">
      <c r="B19" s="126"/>
      <c r="C19" s="34" t="s">
        <v>67</v>
      </c>
      <c r="D19" s="86">
        <f>ROUNDUP(D32/T30,0)</f>
        <v>5</v>
      </c>
      <c r="E19" s="86">
        <f>ROUNDUP(D32/T35,0)</f>
        <v>4</v>
      </c>
      <c r="F19" s="86">
        <f>ROUNDUP(D32/T40,0)</f>
        <v>3</v>
      </c>
      <c r="G19" s="86">
        <f>ROUNDUP(D32/T45,0)</f>
        <v>3</v>
      </c>
      <c r="H19" s="86">
        <f>ROUNDUP(D32/T50,0)</f>
        <v>3</v>
      </c>
      <c r="I19" s="87">
        <f>ROUNDUP(D32/T55,0)</f>
        <v>3</v>
      </c>
      <c r="L19" s="30"/>
      <c r="M19" s="30"/>
      <c r="N19" s="30"/>
      <c r="O19" s="33"/>
      <c r="P19" s="30"/>
      <c r="Q19" s="30"/>
      <c r="R19" s="30"/>
      <c r="T19" s="22"/>
    </row>
    <row r="20" spans="2:33" ht="7.5" customHeight="1" x14ac:dyDescent="0.15">
      <c r="C20" s="35"/>
      <c r="D20" s="36"/>
      <c r="E20" s="36"/>
      <c r="F20" s="36"/>
      <c r="G20" s="36"/>
      <c r="H20" s="36"/>
      <c r="I20" s="36"/>
      <c r="L20" s="38"/>
      <c r="M20" s="38"/>
      <c r="N20" s="38"/>
      <c r="O20" s="39"/>
      <c r="P20" s="38"/>
      <c r="Q20" s="38"/>
      <c r="R20" s="38"/>
      <c r="T20" s="19"/>
      <c r="U20" s="37"/>
    </row>
    <row r="21" spans="2:33" ht="12" x14ac:dyDescent="0.15">
      <c r="C21" s="40" t="str">
        <f>"■対策面積"&amp;DBCS(FIXED(SUM(E6:E9),0,TRUE))&amp;"㎡の選定施設に設置する雨水浸透マスの計算結果"</f>
        <v>■対策面積１００㎡の選定施設に設置する雨水浸透マスの計算結果</v>
      </c>
      <c r="M21" s="41"/>
      <c r="N21" s="41"/>
      <c r="P21" s="41"/>
      <c r="Q21" s="41"/>
      <c r="S21" s="19"/>
      <c r="U21" s="37"/>
    </row>
    <row r="22" spans="2:33" ht="3" customHeight="1" thickBot="1" x14ac:dyDescent="0.2">
      <c r="S22" s="19"/>
      <c r="U22" s="37"/>
    </row>
    <row r="23" spans="2:33" s="21" customFormat="1" ht="15" customHeight="1" x14ac:dyDescent="0.15">
      <c r="B23" s="128"/>
      <c r="C23" s="42" t="s">
        <v>1</v>
      </c>
      <c r="D23" s="42"/>
      <c r="E23" s="43"/>
      <c r="F23" s="44" t="s">
        <v>27</v>
      </c>
      <c r="G23" s="42"/>
      <c r="H23" s="42"/>
      <c r="I23" s="42"/>
      <c r="J23" s="42"/>
      <c r="K23" s="42"/>
      <c r="L23" s="42"/>
      <c r="M23" s="42"/>
      <c r="N23" s="45"/>
      <c r="O23" s="46"/>
      <c r="P23" s="46"/>
      <c r="Q23" s="47"/>
      <c r="R23" s="44" t="s">
        <v>30</v>
      </c>
      <c r="S23" s="42"/>
      <c r="T23" s="42"/>
      <c r="U23" s="43"/>
      <c r="V23" s="42" t="s">
        <v>32</v>
      </c>
      <c r="W23" s="42"/>
      <c r="X23" s="42"/>
      <c r="Y23" s="48"/>
      <c r="Z23" s="21" t="s">
        <v>49</v>
      </c>
    </row>
    <row r="24" spans="2:33" ht="9" customHeight="1" x14ac:dyDescent="0.15">
      <c r="B24" s="144" t="s">
        <v>75</v>
      </c>
      <c r="C24" s="49" t="s">
        <v>128</v>
      </c>
      <c r="D24" s="50" t="s">
        <v>43</v>
      </c>
      <c r="E24" s="51" t="s">
        <v>88</v>
      </c>
      <c r="F24" s="52" t="s">
        <v>48</v>
      </c>
      <c r="G24" s="37" t="s">
        <v>44</v>
      </c>
      <c r="M24" s="19"/>
      <c r="N24" s="19" t="s">
        <v>89</v>
      </c>
      <c r="O24" s="37"/>
      <c r="Q24" s="56"/>
      <c r="R24" s="55" t="s">
        <v>131</v>
      </c>
      <c r="S24" s="53"/>
      <c r="U24" s="51" t="s">
        <v>90</v>
      </c>
      <c r="V24" s="37" t="s">
        <v>133</v>
      </c>
      <c r="Y24" s="54" t="s">
        <v>91</v>
      </c>
      <c r="AG24" s="53"/>
    </row>
    <row r="25" spans="2:33" ht="9" customHeight="1" x14ac:dyDescent="0.15">
      <c r="B25" s="144"/>
      <c r="E25" s="58"/>
      <c r="F25" s="52"/>
      <c r="M25" s="41"/>
      <c r="N25" s="19"/>
      <c r="O25" s="37"/>
      <c r="Q25" s="56"/>
      <c r="R25" s="55" t="s">
        <v>49</v>
      </c>
      <c r="S25" s="53"/>
      <c r="U25" s="56"/>
      <c r="V25" s="37" t="s">
        <v>42</v>
      </c>
      <c r="W25" s="53"/>
      <c r="Y25" s="57"/>
      <c r="AB25" s="37" t="s">
        <v>42</v>
      </c>
      <c r="AG25" s="53"/>
    </row>
    <row r="26" spans="2:33" ht="9" customHeight="1" x14ac:dyDescent="0.15">
      <c r="B26" s="144"/>
      <c r="C26" s="53" t="s">
        <v>68</v>
      </c>
      <c r="D26" s="37" t="s">
        <v>64</v>
      </c>
      <c r="E26" s="58" t="s">
        <v>33</v>
      </c>
      <c r="F26" s="52" t="s">
        <v>50</v>
      </c>
      <c r="G26" s="37" t="s">
        <v>92</v>
      </c>
      <c r="L26" s="53" t="s">
        <v>51</v>
      </c>
      <c r="M26" s="37" t="s">
        <v>45</v>
      </c>
      <c r="N26" s="19" t="s">
        <v>85</v>
      </c>
      <c r="O26" s="37"/>
      <c r="Q26" s="56"/>
      <c r="R26" s="55" t="s">
        <v>31</v>
      </c>
      <c r="U26" s="56"/>
      <c r="V26" s="37" t="s">
        <v>81</v>
      </c>
      <c r="W26" s="53"/>
      <c r="Y26" s="57"/>
    </row>
    <row r="27" spans="2:33" ht="9" customHeight="1" x14ac:dyDescent="0.15">
      <c r="B27" s="144"/>
      <c r="C27" s="53" t="s">
        <v>69</v>
      </c>
      <c r="D27" s="37" t="s">
        <v>65</v>
      </c>
      <c r="E27" s="58" t="s">
        <v>34</v>
      </c>
      <c r="F27" s="52"/>
      <c r="G27" s="37" t="s">
        <v>71</v>
      </c>
      <c r="L27" s="53" t="s">
        <v>52</v>
      </c>
      <c r="M27" s="37" t="s">
        <v>46</v>
      </c>
      <c r="N27" s="19" t="s">
        <v>41</v>
      </c>
      <c r="O27" s="37"/>
      <c r="Q27" s="56"/>
      <c r="R27" s="55"/>
      <c r="U27" s="56"/>
      <c r="Y27" s="57"/>
    </row>
    <row r="28" spans="2:33" ht="9" customHeight="1" x14ac:dyDescent="0.15">
      <c r="B28" s="144"/>
      <c r="C28" s="53" t="s">
        <v>70</v>
      </c>
      <c r="D28" s="37" t="s">
        <v>66</v>
      </c>
      <c r="E28" s="58" t="s">
        <v>35</v>
      </c>
      <c r="F28" s="52"/>
      <c r="G28" s="37" t="s">
        <v>72</v>
      </c>
      <c r="L28" s="53" t="s">
        <v>53</v>
      </c>
      <c r="M28" s="37" t="s">
        <v>25</v>
      </c>
      <c r="N28" s="19" t="s">
        <v>26</v>
      </c>
      <c r="O28" s="37"/>
      <c r="Q28" s="56"/>
      <c r="R28" s="55"/>
      <c r="U28" s="56"/>
      <c r="Y28" s="57"/>
    </row>
    <row r="29" spans="2:33" ht="9" customHeight="1" x14ac:dyDescent="0.15">
      <c r="B29" s="144"/>
      <c r="C29" s="59"/>
      <c r="D29" s="73"/>
      <c r="E29" s="69"/>
      <c r="F29" s="52"/>
      <c r="G29" s="37" t="s">
        <v>73</v>
      </c>
      <c r="L29" s="53" t="s">
        <v>54</v>
      </c>
      <c r="M29" s="37" t="s">
        <v>24</v>
      </c>
      <c r="N29" s="19" t="s">
        <v>26</v>
      </c>
      <c r="O29" s="37"/>
      <c r="Q29" s="56"/>
      <c r="R29" s="55"/>
      <c r="U29" s="56"/>
      <c r="Y29" s="57"/>
    </row>
    <row r="30" spans="2:33" ht="9" customHeight="1" x14ac:dyDescent="0.15">
      <c r="B30" s="144" t="s">
        <v>76</v>
      </c>
      <c r="C30" s="41" t="s">
        <v>129</v>
      </c>
      <c r="E30" s="58"/>
      <c r="F30" s="146">
        <v>150</v>
      </c>
      <c r="G30" s="60" t="str">
        <f>" Ｑf＝"&amp;FIXED(M32,3,TRUE)&amp;"×"&amp;FIXED(P31,2,TRUE)&amp;""</f>
        <v xml:space="preserve"> Ｑf＝0.126×3.78</v>
      </c>
      <c r="H30" s="60"/>
      <c r="I30" s="60"/>
      <c r="J30" s="60"/>
      <c r="K30" s="60"/>
      <c r="L30" s="60"/>
      <c r="M30" s="60"/>
      <c r="N30" s="61"/>
      <c r="O30" s="62" t="s">
        <v>48</v>
      </c>
      <c r="P30" s="129">
        <f>ROUND(M32*P31,3)</f>
        <v>0.47599999999999998</v>
      </c>
      <c r="Q30" s="51" t="s">
        <v>93</v>
      </c>
      <c r="R30" s="63" t="str">
        <f>" Ｑ単位＝"&amp;FIXED(0.81,2)&amp;"×"&amp;FIXED(P30,3,TRUE)&amp;""</f>
        <v xml:space="preserve"> Ｑ単位＝0.81×0.476</v>
      </c>
      <c r="S30" s="62" t="s">
        <v>132</v>
      </c>
      <c r="T30" s="129">
        <f>ROUND(0.81*P30,3)</f>
        <v>0.38600000000000001</v>
      </c>
      <c r="U30" s="51" t="s">
        <v>90</v>
      </c>
      <c r="V30" s="60" t="str">
        <f>" Ｑ設計＝"&amp;FIXED(T30,3,TRUE)&amp;"×"&amp;FIXED(D19,0,TRUE)&amp;""</f>
        <v xml:space="preserve"> Ｑ設計＝0.386×5</v>
      </c>
      <c r="W30" s="62" t="s">
        <v>134</v>
      </c>
      <c r="X30" s="130">
        <f>ROUND(T30*D19,3)</f>
        <v>1.93</v>
      </c>
      <c r="Y30" s="54" t="s">
        <v>91</v>
      </c>
    </row>
    <row r="31" spans="2:33" ht="9" customHeight="1" x14ac:dyDescent="0.15">
      <c r="B31" s="144"/>
      <c r="C31" s="41" t="str">
        <f>"　　　　＝"&amp;FIXED(D35,2)&amp;"＋"&amp;FIXED(D41,2)&amp;"＋"&amp;FIXED(D47,2)&amp;"＋"&amp;FIXED(D53,2)&amp;""</f>
        <v>　　　　＝1.80＋0.00＋0.00＋0.00</v>
      </c>
      <c r="E31" s="58"/>
      <c r="F31" s="147"/>
      <c r="G31" s="41" t="str">
        <f>" Ｋf＝"&amp;FIXED(P32,3,TRUE)&amp;"×"&amp;FIXED(M34,1,TRUE)&amp;"×"&amp;FIXED(M34,1,TRUE)&amp;"+"&amp;FIXED(P33,3,TRUE)&amp;"×"&amp;FIXED(M34,1,TRUE)&amp;"+"&amp;FIXED(P34,3,TRUE)&amp;""</f>
        <v xml:space="preserve"> Ｋf＝1.045×0.5×0.5+4.739×0.5+1.146</v>
      </c>
      <c r="H31" s="41"/>
      <c r="I31" s="41"/>
      <c r="J31" s="41"/>
      <c r="K31" s="41"/>
      <c r="L31" s="53" t="s">
        <v>55</v>
      </c>
      <c r="M31" s="131" t="str">
        <f>VLOOKUP(雨水浸透マスの選定!I6,選定条件!A5:G14,5)</f>
        <v>3.5×10-3</v>
      </c>
      <c r="N31" s="19" t="s">
        <v>28</v>
      </c>
      <c r="O31" s="64" t="s">
        <v>36</v>
      </c>
      <c r="P31" s="132">
        <f>ROUND(P32*M34*M34+P33*M34+P34,2)</f>
        <v>3.78</v>
      </c>
      <c r="Q31" s="58" t="s">
        <v>37</v>
      </c>
      <c r="R31" s="55"/>
      <c r="S31" s="65"/>
      <c r="T31" s="112"/>
      <c r="U31" s="56"/>
      <c r="W31" s="65"/>
      <c r="X31" s="112"/>
      <c r="Y31" s="57"/>
    </row>
    <row r="32" spans="2:33" ht="9" customHeight="1" x14ac:dyDescent="0.15">
      <c r="B32" s="144"/>
      <c r="C32" s="41" t="s">
        <v>130</v>
      </c>
      <c r="D32" s="111">
        <f>ROUND(D35+D41+D47+D53,2)</f>
        <v>1.8</v>
      </c>
      <c r="E32" s="58" t="s">
        <v>88</v>
      </c>
      <c r="F32" s="147"/>
      <c r="G32" s="41" t="str">
        <f>"  ａ＝"&amp;FIXED(0.12,3,TRUE)&amp;"×"&amp;FIXED(M33,1,TRUE)&amp;"+"&amp;FIXED(0.985,3,TRUE)&amp;""</f>
        <v xml:space="preserve">  ａ＝0.120×0.5+0.985</v>
      </c>
      <c r="H32" s="41"/>
      <c r="I32" s="41"/>
      <c r="J32" s="41"/>
      <c r="K32" s="41"/>
      <c r="L32" s="53" t="s">
        <v>57</v>
      </c>
      <c r="M32" s="131">
        <f>VLOOKUP(雨水浸透マスの選定!I6,選定条件!A6:G15,7)</f>
        <v>0.126</v>
      </c>
      <c r="N32" s="19" t="s">
        <v>58</v>
      </c>
      <c r="O32" s="64" t="s">
        <v>38</v>
      </c>
      <c r="P32" s="132">
        <f>ROUND(0.12*M33+0.985,4)</f>
        <v>1.0449999999999999</v>
      </c>
      <c r="Q32" s="58"/>
      <c r="R32" s="55"/>
      <c r="S32" s="65"/>
      <c r="T32" s="112"/>
      <c r="U32" s="56"/>
      <c r="W32" s="65"/>
      <c r="X32" s="112"/>
      <c r="Y32" s="57"/>
    </row>
    <row r="33" spans="2:25" ht="9" customHeight="1" x14ac:dyDescent="0.15">
      <c r="B33" s="144"/>
      <c r="C33" s="53"/>
      <c r="E33" s="58"/>
      <c r="F33" s="147"/>
      <c r="G33" s="41" t="str">
        <f>"  ｂ＝"&amp;FIXED(7.837,3,TRUE)&amp;"×"&amp;FIXED(M33,1,TRUE)&amp;"+"&amp;FIXED(0.82,2,TRUE)&amp;""</f>
        <v xml:space="preserve">  ｂ＝7.837×0.5+0.82</v>
      </c>
      <c r="H33" s="41"/>
      <c r="I33" s="41"/>
      <c r="J33" s="41"/>
      <c r="K33" s="41"/>
      <c r="L33" s="53" t="s">
        <v>60</v>
      </c>
      <c r="M33" s="131">
        <f>D13</f>
        <v>0.5</v>
      </c>
      <c r="N33" s="19" t="s">
        <v>26</v>
      </c>
      <c r="O33" s="64" t="s">
        <v>39</v>
      </c>
      <c r="P33" s="132">
        <f>ROUND(7.837*M33+0.82,3)</f>
        <v>4.7389999999999999</v>
      </c>
      <c r="Q33" s="58"/>
      <c r="R33" s="55"/>
      <c r="S33" s="65"/>
      <c r="T33" s="112"/>
      <c r="U33" s="56"/>
      <c r="W33" s="65"/>
      <c r="X33" s="112"/>
      <c r="Y33" s="57"/>
    </row>
    <row r="34" spans="2:25" ht="9" customHeight="1" x14ac:dyDescent="0.15">
      <c r="B34" s="144"/>
      <c r="C34" s="41" t="str">
        <f>" Ｑ1＝"&amp;FIXED(D36,2)&amp;"×"&amp;FIXED(D37,0,TRUE)&amp;"÷"&amp;FIXED(1000,0)&amp;"×"&amp;FIXED(D38,0,TRUE)&amp;""</f>
        <v xml:space="preserve"> Ｑ1＝0.90×20÷1,000×100</v>
      </c>
      <c r="E34" s="56"/>
      <c r="F34" s="148"/>
      <c r="G34" s="66" t="str">
        <f>"  ｃ＝"&amp;FIXED(2.858,3,TRUE)&amp;"×"&amp;FIXED(M33,1,TRUE)&amp;"-"&amp;FIXED(0.283,3,TRUE)&amp;""</f>
        <v xml:space="preserve">  ｃ＝2.858×0.5-0.283</v>
      </c>
      <c r="H34" s="66"/>
      <c r="I34" s="66"/>
      <c r="J34" s="66"/>
      <c r="K34" s="66"/>
      <c r="L34" s="59" t="s">
        <v>62</v>
      </c>
      <c r="M34" s="133">
        <f>D14</f>
        <v>0.5</v>
      </c>
      <c r="N34" s="67" t="s">
        <v>26</v>
      </c>
      <c r="O34" s="68" t="s">
        <v>40</v>
      </c>
      <c r="P34" s="132">
        <f>ROUND(2.858*M33-0.283,3)</f>
        <v>1.1459999999999999</v>
      </c>
      <c r="Q34" s="69"/>
      <c r="R34" s="70"/>
      <c r="S34" s="71"/>
      <c r="T34" s="112"/>
      <c r="U34" s="72"/>
      <c r="V34" s="73"/>
      <c r="W34" s="71"/>
      <c r="X34" s="112"/>
      <c r="Y34" s="74"/>
    </row>
    <row r="35" spans="2:25" ht="9" customHeight="1" x14ac:dyDescent="0.15">
      <c r="B35" s="144"/>
      <c r="C35" s="53" t="s">
        <v>47</v>
      </c>
      <c r="D35" s="111">
        <f>ROUND(D36*D37/1000*D38,2)</f>
        <v>1.8</v>
      </c>
      <c r="E35" s="58" t="s">
        <v>91</v>
      </c>
      <c r="F35" s="146">
        <v>200</v>
      </c>
      <c r="G35" s="60" t="str">
        <f>" Ｑf＝"&amp;FIXED(M37,3,TRUE)&amp;"×"&amp;FIXED(P36,2,TRUE)&amp;""</f>
        <v xml:space="preserve"> Ｑf＝0.126×5.13</v>
      </c>
      <c r="H35" s="60"/>
      <c r="I35" s="60"/>
      <c r="J35" s="60"/>
      <c r="K35" s="60"/>
      <c r="L35" s="60"/>
      <c r="M35" s="60"/>
      <c r="N35" s="61"/>
      <c r="O35" s="62" t="s">
        <v>63</v>
      </c>
      <c r="P35" s="129">
        <f>ROUND(M37*P36,3)</f>
        <v>0.64600000000000002</v>
      </c>
      <c r="Q35" s="51" t="s">
        <v>93</v>
      </c>
      <c r="R35" s="63" t="str">
        <f>" Ｑ単位＝"&amp;FIXED(0.81,2)&amp;"×"&amp;FIXED(P35,3,TRUE)&amp;""</f>
        <v xml:space="preserve"> Ｑ単位＝0.81×0.646</v>
      </c>
      <c r="S35" s="62" t="s">
        <v>132</v>
      </c>
      <c r="T35" s="129">
        <f>ROUND(0.81*P35,3)</f>
        <v>0.52300000000000002</v>
      </c>
      <c r="U35" s="51" t="s">
        <v>90</v>
      </c>
      <c r="V35" s="60" t="str">
        <f>" Ｑ設計＝"&amp;FIXED(T35,3,TRUE)&amp;"×"&amp;FIXED(E19,0,TRUE)&amp;""</f>
        <v xml:space="preserve"> Ｑ設計＝0.523×4</v>
      </c>
      <c r="W35" s="62" t="s">
        <v>134</v>
      </c>
      <c r="X35" s="130">
        <f>ROUND(T35*E19,3)</f>
        <v>2.0920000000000001</v>
      </c>
      <c r="Y35" s="54" t="s">
        <v>91</v>
      </c>
    </row>
    <row r="36" spans="2:25" ht="9" customHeight="1" x14ac:dyDescent="0.15">
      <c r="B36" s="144"/>
      <c r="C36" s="53" t="s">
        <v>114</v>
      </c>
      <c r="D36" s="134">
        <f>LOOKUP(雨水浸透マスの選定!C6,選定条件!A21:D30)</f>
        <v>0.9</v>
      </c>
      <c r="E36" s="58" t="s">
        <v>56</v>
      </c>
      <c r="F36" s="147"/>
      <c r="G36" s="41" t="str">
        <f>" Ｋf＝"&amp;FIXED(P37,3,TRUE)&amp;"×"&amp;FIXED(M39,1,TRUE)&amp;"×"&amp;FIXED(M39,1,TRUE)&amp;"+"&amp;FIXED(P38,3,TRUE)&amp;"×"&amp;FIXED(M39,1,TRUE)&amp;"+"&amp;FIXED(P39,3,TRUE)&amp;""</f>
        <v xml:space="preserve"> Ｋf＝1.057×0.6×0.6+5.522×0.6+1.432</v>
      </c>
      <c r="H36" s="41"/>
      <c r="I36" s="41"/>
      <c r="J36" s="41"/>
      <c r="K36" s="41"/>
      <c r="L36" s="53" t="s">
        <v>55</v>
      </c>
      <c r="M36" s="131" t="str">
        <f>VLOOKUP(雨水浸透マスの選定!I6,選定条件!A5:G14,5)</f>
        <v>3.5×10-3</v>
      </c>
      <c r="N36" s="19" t="s">
        <v>28</v>
      </c>
      <c r="O36" s="64" t="s">
        <v>36</v>
      </c>
      <c r="P36" s="132">
        <f>ROUND(P37*M39*M39+P38*M39+P39,2)</f>
        <v>5.13</v>
      </c>
      <c r="Q36" s="58" t="s">
        <v>37</v>
      </c>
      <c r="R36" s="55"/>
      <c r="S36" s="65"/>
      <c r="T36" s="112"/>
      <c r="U36" s="56"/>
      <c r="W36" s="65"/>
      <c r="X36" s="112"/>
      <c r="Y36" s="57"/>
    </row>
    <row r="37" spans="2:25" ht="9" customHeight="1" x14ac:dyDescent="0.15">
      <c r="B37" s="144"/>
      <c r="C37" s="53" t="s">
        <v>115</v>
      </c>
      <c r="D37" s="131">
        <f>G6</f>
        <v>20</v>
      </c>
      <c r="E37" s="58" t="s">
        <v>59</v>
      </c>
      <c r="F37" s="147"/>
      <c r="G37" s="41" t="str">
        <f>"  ａ＝"&amp;FIXED(0.12,3,TRUE)&amp;"×"&amp;FIXED(M38,1,TRUE)&amp;"+"&amp;FIXED(0.985,3,TRUE)&amp;""</f>
        <v xml:space="preserve">  ａ＝0.120×0.6+0.985</v>
      </c>
      <c r="H37" s="41"/>
      <c r="I37" s="41"/>
      <c r="J37" s="41"/>
      <c r="K37" s="41"/>
      <c r="L37" s="53" t="s">
        <v>57</v>
      </c>
      <c r="M37" s="131">
        <f>VLOOKUP(雨水浸透マスの選定!I6,選定条件!A6:G15,7)</f>
        <v>0.126</v>
      </c>
      <c r="N37" s="19" t="s">
        <v>58</v>
      </c>
      <c r="O37" s="64" t="s">
        <v>38</v>
      </c>
      <c r="P37" s="132">
        <f>ROUND(0.12*M38+0.985,4)</f>
        <v>1.0569999999999999</v>
      </c>
      <c r="Q37" s="58"/>
      <c r="R37" s="55"/>
      <c r="S37" s="65"/>
      <c r="T37" s="112"/>
      <c r="U37" s="56"/>
      <c r="W37" s="65"/>
      <c r="X37" s="112"/>
      <c r="Y37" s="57"/>
    </row>
    <row r="38" spans="2:25" ht="9" customHeight="1" x14ac:dyDescent="0.15">
      <c r="B38" s="144"/>
      <c r="C38" s="53" t="s">
        <v>116</v>
      </c>
      <c r="D38" s="131">
        <f>E6</f>
        <v>100</v>
      </c>
      <c r="E38" s="58" t="s">
        <v>37</v>
      </c>
      <c r="F38" s="147"/>
      <c r="G38" s="41" t="str">
        <f>"  ｂ＝"&amp;FIXED(7.837,3,TRUE)&amp;"×"&amp;FIXED(M38,1,TRUE)&amp;"+"&amp;FIXED(0.82,2,TRUE)&amp;""</f>
        <v xml:space="preserve">  ｂ＝7.837×0.6+0.82</v>
      </c>
      <c r="H38" s="41"/>
      <c r="I38" s="41"/>
      <c r="J38" s="41"/>
      <c r="K38" s="41"/>
      <c r="L38" s="53" t="s">
        <v>60</v>
      </c>
      <c r="M38" s="131">
        <f>E13</f>
        <v>0.6</v>
      </c>
      <c r="N38" s="19" t="s">
        <v>26</v>
      </c>
      <c r="O38" s="64" t="s">
        <v>39</v>
      </c>
      <c r="P38" s="132">
        <f>ROUND(7.837*M38+0.82,3)</f>
        <v>5.5220000000000002</v>
      </c>
      <c r="Q38" s="58"/>
      <c r="R38" s="55"/>
      <c r="S38" s="65"/>
      <c r="T38" s="112"/>
      <c r="U38" s="56"/>
      <c r="W38" s="65"/>
      <c r="X38" s="112"/>
      <c r="Y38" s="57"/>
    </row>
    <row r="39" spans="2:25" ht="9" customHeight="1" x14ac:dyDescent="0.15">
      <c r="B39" s="144"/>
      <c r="E39" s="56"/>
      <c r="F39" s="148"/>
      <c r="G39" s="66" t="str">
        <f>"  ｃ＝"&amp;FIXED(2.858,3,TRUE)&amp;"×"&amp;FIXED(M38,1,TRUE)&amp;"-"&amp;FIXED(0.283,3,TRUE)&amp;""</f>
        <v xml:space="preserve">  ｃ＝2.858×0.6-0.283</v>
      </c>
      <c r="H39" s="66"/>
      <c r="I39" s="66"/>
      <c r="J39" s="66"/>
      <c r="K39" s="66"/>
      <c r="L39" s="59" t="s">
        <v>62</v>
      </c>
      <c r="M39" s="133">
        <f>E14</f>
        <v>0.6</v>
      </c>
      <c r="N39" s="67" t="s">
        <v>26</v>
      </c>
      <c r="O39" s="68" t="s">
        <v>40</v>
      </c>
      <c r="P39" s="132">
        <f>ROUND(2.858*M38-0.283,3)</f>
        <v>1.4319999999999999</v>
      </c>
      <c r="Q39" s="69"/>
      <c r="R39" s="70"/>
      <c r="S39" s="71"/>
      <c r="T39" s="112"/>
      <c r="U39" s="72"/>
      <c r="V39" s="73"/>
      <c r="W39" s="71"/>
      <c r="X39" s="112"/>
      <c r="Y39" s="74"/>
    </row>
    <row r="40" spans="2:25" ht="9" customHeight="1" x14ac:dyDescent="0.15">
      <c r="B40" s="144"/>
      <c r="C40" s="41" t="str">
        <f>" Ｑ2＝"&amp;FIXED(D42,2)&amp;"×"&amp;FIXED(D43,0,TRUE)&amp;"÷"&amp;FIXED(1000,0)&amp;"×"&amp;FIXED(D44,0,TRUE)&amp;""</f>
        <v xml:space="preserve"> Ｑ2＝0.00×20÷1,000×0</v>
      </c>
      <c r="E40" s="56"/>
      <c r="F40" s="146">
        <v>250</v>
      </c>
      <c r="G40" s="60" t="str">
        <f>" Ｑf＝"&amp;FIXED(M42,3,TRUE)&amp;"×"&amp;FIXED(P41,2,TRUE)&amp;""</f>
        <v xml:space="preserve"> Ｑf＝0.126×5.89</v>
      </c>
      <c r="H40" s="60"/>
      <c r="I40" s="60"/>
      <c r="J40" s="60"/>
      <c r="K40" s="60"/>
      <c r="L40" s="60"/>
      <c r="M40" s="60"/>
      <c r="N40" s="61"/>
      <c r="O40" s="62" t="s">
        <v>63</v>
      </c>
      <c r="P40" s="129">
        <f>ROUND(M42*P41,3)</f>
        <v>0.74199999999999999</v>
      </c>
      <c r="Q40" s="51" t="s">
        <v>90</v>
      </c>
      <c r="R40" s="63" t="str">
        <f>" Ｑ単位＝"&amp;FIXED(0.81,2)&amp;"×"&amp;FIXED(P40,3,TRUE)&amp;""</f>
        <v xml:space="preserve"> Ｑ単位＝0.81×0.742</v>
      </c>
      <c r="S40" s="62" t="s">
        <v>132</v>
      </c>
      <c r="T40" s="129">
        <f>ROUND(0.81*P40,3)</f>
        <v>0.60099999999999998</v>
      </c>
      <c r="U40" s="51" t="s">
        <v>90</v>
      </c>
      <c r="V40" s="60" t="str">
        <f>" Ｑ設計＝"&amp;FIXED(T40,3,TRUE)&amp;"×"&amp;FIXED(F19,0,TRUE)&amp;""</f>
        <v xml:space="preserve"> Ｑ設計＝0.601×3</v>
      </c>
      <c r="W40" s="62" t="s">
        <v>134</v>
      </c>
      <c r="X40" s="130">
        <f>ROUND(T40*F19,3)</f>
        <v>1.8029999999999999</v>
      </c>
      <c r="Y40" s="54" t="s">
        <v>91</v>
      </c>
    </row>
    <row r="41" spans="2:25" ht="9" customHeight="1" x14ac:dyDescent="0.15">
      <c r="B41" s="144"/>
      <c r="C41" s="53" t="s">
        <v>61</v>
      </c>
      <c r="D41" s="111">
        <f>ROUND(D42*D43/1000*D44,2)</f>
        <v>0</v>
      </c>
      <c r="E41" s="58" t="s">
        <v>88</v>
      </c>
      <c r="F41" s="147"/>
      <c r="G41" s="41" t="str">
        <f>" Ｋf＝"&amp;FIXED(P42,3,TRUE)&amp;"×"&amp;FIXED(M44,1,TRUE)&amp;"×"&amp;FIXED(M44,1,TRUE)&amp;"+"&amp;FIXED(P43,3,TRUE)&amp;"×"&amp;FIXED(M44,1,TRUE)&amp;"+"&amp;FIXED(P44,3,TRUE)&amp;""</f>
        <v xml:space="preserve"> Ｋf＝1.069×0.6×0.6+6.306×0.6+1.718</v>
      </c>
      <c r="H41" s="41"/>
      <c r="I41" s="41"/>
      <c r="J41" s="41"/>
      <c r="K41" s="41"/>
      <c r="L41" s="53" t="s">
        <v>55</v>
      </c>
      <c r="M41" s="131" t="str">
        <f>VLOOKUP(雨水浸透マスの選定!I6,選定条件!A5:G14,5)</f>
        <v>3.5×10-3</v>
      </c>
      <c r="N41" s="19" t="s">
        <v>28</v>
      </c>
      <c r="O41" s="64" t="s">
        <v>36</v>
      </c>
      <c r="P41" s="132">
        <f>ROUND(P42*M44*M44+P43*M44+P44,2)</f>
        <v>5.89</v>
      </c>
      <c r="Q41" s="58" t="s">
        <v>37</v>
      </c>
      <c r="R41" s="55"/>
      <c r="S41" s="65"/>
      <c r="T41" s="112"/>
      <c r="U41" s="56"/>
      <c r="W41" s="65"/>
      <c r="X41" s="112"/>
      <c r="Y41" s="57"/>
    </row>
    <row r="42" spans="2:25" ht="9" customHeight="1" x14ac:dyDescent="0.15">
      <c r="B42" s="144"/>
      <c r="C42" s="53" t="s">
        <v>117</v>
      </c>
      <c r="D42" s="134">
        <f>LOOKUP(雨水浸透マスの選定!C7,選定条件!A21:D30)</f>
        <v>0</v>
      </c>
      <c r="E42" s="58" t="s">
        <v>56</v>
      </c>
      <c r="F42" s="147"/>
      <c r="G42" s="41" t="str">
        <f>"  ａ＝"&amp;FIXED(0.12,3,TRUE)&amp;"×"&amp;FIXED(M43,1,TRUE)&amp;"+"&amp;FIXED(0.985,3,TRUE)&amp;""</f>
        <v xml:space="preserve">  ａ＝0.120×0.7+0.985</v>
      </c>
      <c r="H42" s="41"/>
      <c r="I42" s="41"/>
      <c r="J42" s="41"/>
      <c r="K42" s="41"/>
      <c r="L42" s="53" t="s">
        <v>57</v>
      </c>
      <c r="M42" s="131">
        <f>VLOOKUP(雨水浸透マスの選定!I6,選定条件!A6:G15,7)</f>
        <v>0.126</v>
      </c>
      <c r="N42" s="19" t="s">
        <v>58</v>
      </c>
      <c r="O42" s="64" t="s">
        <v>38</v>
      </c>
      <c r="P42" s="132">
        <f>ROUND(0.12*M43+0.985,4)</f>
        <v>1.069</v>
      </c>
      <c r="Q42" s="58"/>
      <c r="R42" s="55"/>
      <c r="S42" s="65"/>
      <c r="T42" s="112"/>
      <c r="U42" s="56"/>
      <c r="W42" s="65"/>
      <c r="X42" s="112"/>
      <c r="Y42" s="57"/>
    </row>
    <row r="43" spans="2:25" ht="9" customHeight="1" x14ac:dyDescent="0.15">
      <c r="B43" s="144"/>
      <c r="C43" s="53" t="s">
        <v>118</v>
      </c>
      <c r="D43" s="131">
        <f>G6</f>
        <v>20</v>
      </c>
      <c r="E43" s="58" t="s">
        <v>34</v>
      </c>
      <c r="F43" s="147"/>
      <c r="G43" s="41" t="str">
        <f>"  ｂ＝"&amp;FIXED(7.837,3,TRUE)&amp;"×"&amp;FIXED(M43,1,TRUE)&amp;"+"&amp;FIXED(0.82,2,TRUE)&amp;""</f>
        <v xml:space="preserve">  ｂ＝7.837×0.7+0.82</v>
      </c>
      <c r="H43" s="41"/>
      <c r="I43" s="41"/>
      <c r="J43" s="41"/>
      <c r="K43" s="41"/>
      <c r="L43" s="53" t="s">
        <v>60</v>
      </c>
      <c r="M43" s="131">
        <f>F13</f>
        <v>0.7</v>
      </c>
      <c r="N43" s="19" t="s">
        <v>26</v>
      </c>
      <c r="O43" s="64" t="s">
        <v>39</v>
      </c>
      <c r="P43" s="132">
        <f>ROUND(7.837*M43+0.82,3)</f>
        <v>6.306</v>
      </c>
      <c r="Q43" s="58"/>
      <c r="R43" s="55"/>
      <c r="S43" s="65"/>
      <c r="T43" s="112"/>
      <c r="U43" s="56"/>
      <c r="W43" s="65"/>
      <c r="X43" s="112"/>
      <c r="Y43" s="57"/>
    </row>
    <row r="44" spans="2:25" ht="9" customHeight="1" x14ac:dyDescent="0.15">
      <c r="B44" s="144"/>
      <c r="C44" s="53" t="s">
        <v>119</v>
      </c>
      <c r="D44" s="131">
        <f>E7</f>
        <v>0</v>
      </c>
      <c r="E44" s="58" t="s">
        <v>35</v>
      </c>
      <c r="F44" s="148"/>
      <c r="G44" s="66" t="str">
        <f>"  ｃ＝"&amp;FIXED(2.858,3,TRUE)&amp;"×"&amp;FIXED(M43,1,TRUE)&amp;"-"&amp;FIXED(0.283,3,TRUE)&amp;""</f>
        <v xml:space="preserve">  ｃ＝2.858×0.7-0.283</v>
      </c>
      <c r="H44" s="66"/>
      <c r="I44" s="66"/>
      <c r="J44" s="66"/>
      <c r="K44" s="66"/>
      <c r="L44" s="59" t="s">
        <v>62</v>
      </c>
      <c r="M44" s="133">
        <f>F14</f>
        <v>0.6</v>
      </c>
      <c r="N44" s="67" t="s">
        <v>26</v>
      </c>
      <c r="O44" s="68" t="s">
        <v>40</v>
      </c>
      <c r="P44" s="132">
        <f>ROUND(2.858*M43-0.283,3)</f>
        <v>1.718</v>
      </c>
      <c r="Q44" s="69"/>
      <c r="R44" s="70"/>
      <c r="S44" s="71"/>
      <c r="T44" s="112"/>
      <c r="U44" s="72"/>
      <c r="V44" s="73"/>
      <c r="W44" s="71"/>
      <c r="X44" s="112"/>
      <c r="Y44" s="74"/>
    </row>
    <row r="45" spans="2:25" ht="9" customHeight="1" x14ac:dyDescent="0.15">
      <c r="B45" s="144"/>
      <c r="C45" s="53"/>
      <c r="E45" s="56"/>
      <c r="F45" s="146">
        <v>300</v>
      </c>
      <c r="G45" s="60" t="str">
        <f>" Ｑf＝"&amp;FIXED(M47,3,TRUE)&amp;"×"&amp;FIXED(P46,2,TRUE)&amp;""</f>
        <v xml:space="preserve"> Ｑf＝0.126×6.66</v>
      </c>
      <c r="H45" s="60"/>
      <c r="I45" s="60"/>
      <c r="J45" s="60"/>
      <c r="K45" s="60"/>
      <c r="L45" s="60"/>
      <c r="M45" s="60"/>
      <c r="N45" s="61"/>
      <c r="O45" s="62" t="s">
        <v>63</v>
      </c>
      <c r="P45" s="129">
        <f>ROUND(M47*P46,3)</f>
        <v>0.83899999999999997</v>
      </c>
      <c r="Q45" s="51" t="s">
        <v>93</v>
      </c>
      <c r="R45" s="63" t="str">
        <f>" Ｑ単位＝"&amp;FIXED(0.81,2)&amp;"×"&amp;FIXED(P45,3,TRUE)&amp;""</f>
        <v xml:space="preserve"> Ｑ単位＝0.81×0.839</v>
      </c>
      <c r="S45" s="62" t="s">
        <v>132</v>
      </c>
      <c r="T45" s="129">
        <f>ROUND(0.81*P45,3)</f>
        <v>0.68</v>
      </c>
      <c r="U45" s="51" t="s">
        <v>90</v>
      </c>
      <c r="V45" s="60" t="str">
        <f>" Ｑ設計＝"&amp;FIXED(T45,3,TRUE)&amp;"×"&amp;FIXED(G19,0,TRUE)&amp;""</f>
        <v xml:space="preserve"> Ｑ設計＝0.680×3</v>
      </c>
      <c r="W45" s="62" t="s">
        <v>134</v>
      </c>
      <c r="X45" s="130">
        <f>ROUND(T45*G19,3)</f>
        <v>2.04</v>
      </c>
      <c r="Y45" s="54" t="s">
        <v>91</v>
      </c>
    </row>
    <row r="46" spans="2:25" ht="9" customHeight="1" x14ac:dyDescent="0.15">
      <c r="B46" s="144"/>
      <c r="C46" s="41" t="str">
        <f>" Ｑ3＝"&amp;FIXED(D48,2)&amp;"×"&amp;FIXED(D49,0,TRUE)&amp;"÷"&amp;FIXED(1000,0)&amp;"×"&amp;FIXED(D50,0,TRUE)&amp;""</f>
        <v xml:space="preserve"> Ｑ3＝0.00×20÷1,000×0</v>
      </c>
      <c r="E46" s="56"/>
      <c r="F46" s="147"/>
      <c r="G46" s="41" t="str">
        <f>" Ｋf＝"&amp;FIXED(P47,3,TRUE)&amp;"×"&amp;FIXED(M49,1,TRUE)&amp;"×"&amp;FIXED(M49,1,TRUE)&amp;"+"&amp;FIXED(P48,3,TRUE)&amp;"×"&amp;FIXED(M49,1,TRUE)&amp;"+"&amp;FIXED(P49,3,TRUE)&amp;""</f>
        <v xml:space="preserve"> Ｋf＝1.069×0.7×0.7+6.306×0.7+1.718</v>
      </c>
      <c r="H46" s="41"/>
      <c r="I46" s="41"/>
      <c r="J46" s="41"/>
      <c r="K46" s="41"/>
      <c r="L46" s="53" t="s">
        <v>55</v>
      </c>
      <c r="M46" s="131" t="str">
        <f>VLOOKUP(雨水浸透マスの選定!I6,選定条件!A5:G14,5)</f>
        <v>3.5×10-3</v>
      </c>
      <c r="N46" s="19" t="s">
        <v>28</v>
      </c>
      <c r="O46" s="64" t="s">
        <v>36</v>
      </c>
      <c r="P46" s="132">
        <f>ROUND(P47*M49*M49+P48*M49+P49,2)</f>
        <v>6.66</v>
      </c>
      <c r="Q46" s="58" t="s">
        <v>37</v>
      </c>
      <c r="R46" s="55"/>
      <c r="S46" s="65"/>
      <c r="T46" s="112"/>
      <c r="U46" s="56"/>
      <c r="W46" s="65"/>
      <c r="X46" s="112"/>
      <c r="Y46" s="57"/>
    </row>
    <row r="47" spans="2:25" ht="9" customHeight="1" x14ac:dyDescent="0.15">
      <c r="B47" s="144"/>
      <c r="C47" s="53" t="s">
        <v>120</v>
      </c>
      <c r="D47" s="111">
        <f>ROUND(D48*D49/1000*D50,2)</f>
        <v>0</v>
      </c>
      <c r="E47" s="58" t="s">
        <v>88</v>
      </c>
      <c r="F47" s="147"/>
      <c r="G47" s="41" t="str">
        <f>"  ａ＝"&amp;FIXED(0.12,3,TRUE)&amp;"×"&amp;FIXED(M48,1,TRUE)&amp;"+"&amp;FIXED(0.985,3,TRUE)&amp;""</f>
        <v xml:space="preserve">  ａ＝0.120×0.7+0.985</v>
      </c>
      <c r="H47" s="41"/>
      <c r="I47" s="41"/>
      <c r="J47" s="41"/>
      <c r="K47" s="41"/>
      <c r="L47" s="53" t="s">
        <v>57</v>
      </c>
      <c r="M47" s="131">
        <f>VLOOKUP(雨水浸透マスの選定!I6,選定条件!A6:G15,7)</f>
        <v>0.126</v>
      </c>
      <c r="N47" s="19" t="s">
        <v>58</v>
      </c>
      <c r="O47" s="64" t="s">
        <v>38</v>
      </c>
      <c r="P47" s="132">
        <f>ROUND(0.12*M48+0.985,4)</f>
        <v>1.069</v>
      </c>
      <c r="Q47" s="58"/>
      <c r="R47" s="55"/>
      <c r="S47" s="65"/>
      <c r="T47" s="112"/>
      <c r="U47" s="56"/>
      <c r="W47" s="65"/>
      <c r="X47" s="112"/>
      <c r="Y47" s="57"/>
    </row>
    <row r="48" spans="2:25" ht="9" customHeight="1" x14ac:dyDescent="0.15">
      <c r="B48" s="144"/>
      <c r="C48" s="53" t="s">
        <v>121</v>
      </c>
      <c r="D48" s="134">
        <f>LOOKUP(雨水浸透マスの選定!C8,選定条件!A21:D30)</f>
        <v>0</v>
      </c>
      <c r="E48" s="58" t="s">
        <v>56</v>
      </c>
      <c r="F48" s="147"/>
      <c r="G48" s="41" t="str">
        <f>"  ｂ＝"&amp;FIXED(7.837,3,TRUE)&amp;"×"&amp;FIXED(M48,1,TRUE)&amp;"+"&amp;FIXED(0.82,2,TRUE)&amp;""</f>
        <v xml:space="preserve">  ｂ＝7.837×0.7+0.82</v>
      </c>
      <c r="H48" s="41"/>
      <c r="I48" s="41"/>
      <c r="J48" s="41"/>
      <c r="K48" s="41"/>
      <c r="L48" s="53" t="s">
        <v>60</v>
      </c>
      <c r="M48" s="131">
        <f>G13</f>
        <v>0.7</v>
      </c>
      <c r="N48" s="19" t="s">
        <v>26</v>
      </c>
      <c r="O48" s="64" t="s">
        <v>39</v>
      </c>
      <c r="P48" s="132">
        <f>ROUND(7.837*M48+0.82,3)</f>
        <v>6.306</v>
      </c>
      <c r="Q48" s="58"/>
      <c r="R48" s="55"/>
      <c r="S48" s="65"/>
      <c r="T48" s="112"/>
      <c r="U48" s="56"/>
      <c r="W48" s="65"/>
      <c r="X48" s="112"/>
      <c r="Y48" s="57"/>
    </row>
    <row r="49" spans="2:25" ht="9" customHeight="1" x14ac:dyDescent="0.15">
      <c r="B49" s="144"/>
      <c r="C49" s="53" t="s">
        <v>122</v>
      </c>
      <c r="D49" s="131">
        <f>G6</f>
        <v>20</v>
      </c>
      <c r="E49" s="58" t="s">
        <v>34</v>
      </c>
      <c r="F49" s="148"/>
      <c r="G49" s="66" t="str">
        <f>"  ｃ＝"&amp;FIXED(2.858,3,TRUE)&amp;"×"&amp;FIXED(M48,1,TRUE)&amp;"-"&amp;FIXED(0.283,3,TRUE)&amp;""</f>
        <v xml:space="preserve">  ｃ＝2.858×0.7-0.283</v>
      </c>
      <c r="H49" s="66"/>
      <c r="I49" s="66"/>
      <c r="J49" s="66"/>
      <c r="K49" s="66"/>
      <c r="L49" s="59" t="s">
        <v>62</v>
      </c>
      <c r="M49" s="133">
        <f>G14</f>
        <v>0.7</v>
      </c>
      <c r="N49" s="67" t="s">
        <v>26</v>
      </c>
      <c r="O49" s="68" t="s">
        <v>40</v>
      </c>
      <c r="P49" s="132">
        <f>ROUND(2.858*M48-0.283,3)</f>
        <v>1.718</v>
      </c>
      <c r="Q49" s="69"/>
      <c r="R49" s="70"/>
      <c r="S49" s="71"/>
      <c r="T49" s="112"/>
      <c r="U49" s="72"/>
      <c r="V49" s="73"/>
      <c r="W49" s="71"/>
      <c r="X49" s="112"/>
      <c r="Y49" s="74"/>
    </row>
    <row r="50" spans="2:25" ht="9" customHeight="1" x14ac:dyDescent="0.15">
      <c r="B50" s="144"/>
      <c r="C50" s="53" t="s">
        <v>123</v>
      </c>
      <c r="D50" s="131">
        <f>E8</f>
        <v>0</v>
      </c>
      <c r="E50" s="58" t="s">
        <v>35</v>
      </c>
      <c r="F50" s="146">
        <v>350</v>
      </c>
      <c r="G50" s="60" t="str">
        <f>" Ｑf＝"&amp;FIXED(M52,3,TRUE)&amp;"×"&amp;FIXED(P51,2,TRUE)&amp;""</f>
        <v xml:space="preserve"> Ｑf＝0.126×7.50</v>
      </c>
      <c r="H50" s="60"/>
      <c r="I50" s="60"/>
      <c r="J50" s="60"/>
      <c r="K50" s="60"/>
      <c r="L50" s="60"/>
      <c r="M50" s="60"/>
      <c r="N50" s="61"/>
      <c r="O50" s="62" t="s">
        <v>63</v>
      </c>
      <c r="P50" s="129">
        <f>ROUND(M52*P51,3)</f>
        <v>0.94499999999999995</v>
      </c>
      <c r="Q50" s="51" t="s">
        <v>93</v>
      </c>
      <c r="R50" s="63" t="str">
        <f>" Ｑ単位＝"&amp;FIXED(0.81,2)&amp;"×"&amp;FIXED(P50,3,TRUE)&amp;""</f>
        <v xml:space="preserve"> Ｑ単位＝0.81×0.945</v>
      </c>
      <c r="S50" s="62" t="s">
        <v>132</v>
      </c>
      <c r="T50" s="129">
        <f>ROUND(0.81*P50,3)</f>
        <v>0.76500000000000001</v>
      </c>
      <c r="U50" s="51" t="s">
        <v>90</v>
      </c>
      <c r="V50" s="60" t="str">
        <f>" Ｑ設計＝"&amp;FIXED(T50,3,TRUE)&amp;"×"&amp;FIXED(H19,0,TRUE)&amp;""</f>
        <v xml:space="preserve"> Ｑ設計＝0.765×3</v>
      </c>
      <c r="W50" s="62" t="s">
        <v>134</v>
      </c>
      <c r="X50" s="130">
        <f>ROUND(T50*H19,3)</f>
        <v>2.2949999999999999</v>
      </c>
      <c r="Y50" s="54" t="s">
        <v>91</v>
      </c>
    </row>
    <row r="51" spans="2:25" ht="9" customHeight="1" x14ac:dyDescent="0.15">
      <c r="B51" s="144"/>
      <c r="C51" s="53"/>
      <c r="E51" s="56"/>
      <c r="F51" s="147"/>
      <c r="G51" s="41" t="str">
        <f>" Ｋf＝"&amp;FIXED(P52,3,TRUE)&amp;"×"&amp;FIXED(M54,1,TRUE)&amp;"×"&amp;FIXED(M54,1,TRUE)&amp;"+"&amp;FIXED(P53,3,TRUE)&amp;"×"&amp;FIXED(M54,1,TRUE)&amp;"+"&amp;FIXED(P54,3,TRUE)&amp;""</f>
        <v xml:space="preserve"> Ｋf＝1.081×0.7×0.7+7.090×0.7+2.003</v>
      </c>
      <c r="H51" s="41"/>
      <c r="I51" s="41"/>
      <c r="J51" s="41"/>
      <c r="K51" s="41"/>
      <c r="L51" s="53" t="s">
        <v>55</v>
      </c>
      <c r="M51" s="131" t="str">
        <f>VLOOKUP(雨水浸透マスの選定!I6,選定条件!A5:G14,5)</f>
        <v>3.5×10-3</v>
      </c>
      <c r="N51" s="19" t="s">
        <v>28</v>
      </c>
      <c r="O51" s="64" t="s">
        <v>36</v>
      </c>
      <c r="P51" s="132">
        <f>ROUND(P52*M54*M54+P53*M54+P54,2)</f>
        <v>7.5</v>
      </c>
      <c r="Q51" s="58" t="s">
        <v>37</v>
      </c>
      <c r="R51" s="55"/>
      <c r="S51" s="65"/>
      <c r="T51" s="112"/>
      <c r="U51" s="56"/>
      <c r="W51" s="65"/>
      <c r="X51" s="112"/>
      <c r="Y51" s="57"/>
    </row>
    <row r="52" spans="2:25" ht="9" customHeight="1" x14ac:dyDescent="0.15">
      <c r="B52" s="144"/>
      <c r="C52" s="41" t="str">
        <f>" Ｑ4＝"&amp;FIXED(D54,2)&amp;"×"&amp;FIXED(D55,0,TRUE)&amp;"÷"&amp;FIXED(1000,0)&amp;"×"&amp;FIXED(D56,0,TRUE)&amp;""</f>
        <v xml:space="preserve"> Ｑ4＝0.00×20÷1,000×0</v>
      </c>
      <c r="E52" s="56"/>
      <c r="F52" s="147"/>
      <c r="G52" s="41" t="str">
        <f>"  ａ＝"&amp;FIXED(0.12,3,TRUE)&amp;"×"&amp;FIXED(M53,1,TRUE)&amp;"+"&amp;FIXED(0.985,3,TRUE)&amp;""</f>
        <v xml:space="preserve">  ａ＝0.120×0.8+0.985</v>
      </c>
      <c r="H52" s="41"/>
      <c r="I52" s="41"/>
      <c r="J52" s="41"/>
      <c r="K52" s="41"/>
      <c r="L52" s="53" t="s">
        <v>57</v>
      </c>
      <c r="M52" s="131">
        <f>VLOOKUP(雨水浸透マスの選定!I6,選定条件!A6:G15,7)</f>
        <v>0.126</v>
      </c>
      <c r="N52" s="19" t="s">
        <v>58</v>
      </c>
      <c r="O52" s="64" t="s">
        <v>38</v>
      </c>
      <c r="P52" s="132">
        <f>ROUND(0.12*M53+0.985,4)</f>
        <v>1.081</v>
      </c>
      <c r="Q52" s="58"/>
      <c r="R52" s="55"/>
      <c r="S52" s="65"/>
      <c r="T52" s="112"/>
      <c r="U52" s="56"/>
      <c r="W52" s="65"/>
      <c r="X52" s="112"/>
      <c r="Y52" s="57"/>
    </row>
    <row r="53" spans="2:25" ht="9" customHeight="1" x14ac:dyDescent="0.15">
      <c r="B53" s="144"/>
      <c r="C53" s="53" t="s">
        <v>124</v>
      </c>
      <c r="D53" s="111">
        <f>ROUND(D54*D55/1000*D56,2)</f>
        <v>0</v>
      </c>
      <c r="E53" s="58" t="s">
        <v>88</v>
      </c>
      <c r="F53" s="147"/>
      <c r="G53" s="41" t="str">
        <f>"  ｂ＝"&amp;FIXED(7.837,3,TRUE)&amp;"×"&amp;FIXED(M53,1,TRUE)&amp;"+"&amp;FIXED(0.82,2,TRUE)&amp;""</f>
        <v xml:space="preserve">  ｂ＝7.837×0.8+0.82</v>
      </c>
      <c r="H53" s="41"/>
      <c r="I53" s="41"/>
      <c r="J53" s="41"/>
      <c r="K53" s="41"/>
      <c r="L53" s="53" t="s">
        <v>60</v>
      </c>
      <c r="M53" s="131">
        <f>H13</f>
        <v>0.8</v>
      </c>
      <c r="N53" s="19" t="s">
        <v>26</v>
      </c>
      <c r="O53" s="64" t="s">
        <v>39</v>
      </c>
      <c r="P53" s="132">
        <f>ROUND(7.837*M53+0.82,3)</f>
        <v>7.09</v>
      </c>
      <c r="Q53" s="58"/>
      <c r="R53" s="55"/>
      <c r="S53" s="65"/>
      <c r="T53" s="112"/>
      <c r="U53" s="56"/>
      <c r="W53" s="65"/>
      <c r="X53" s="112"/>
      <c r="Y53" s="57"/>
    </row>
    <row r="54" spans="2:25" ht="9" customHeight="1" x14ac:dyDescent="0.15">
      <c r="B54" s="144"/>
      <c r="C54" s="53" t="s">
        <v>125</v>
      </c>
      <c r="D54" s="134">
        <f>LOOKUP(雨水浸透マスの選定!C9,選定条件!A21:D30)</f>
        <v>0</v>
      </c>
      <c r="E54" s="58" t="s">
        <v>56</v>
      </c>
      <c r="F54" s="148"/>
      <c r="G54" s="66" t="str">
        <f>"  ｃ＝"&amp;FIXED(2.858,3,TRUE)&amp;"×"&amp;FIXED(M53,1,TRUE)&amp;"-"&amp;FIXED(0.283,3,TRUE)&amp;""</f>
        <v xml:space="preserve">  ｃ＝2.858×0.8-0.283</v>
      </c>
      <c r="H54" s="66"/>
      <c r="I54" s="66"/>
      <c r="J54" s="66"/>
      <c r="K54" s="66"/>
      <c r="L54" s="59" t="s">
        <v>62</v>
      </c>
      <c r="M54" s="133">
        <f>H14</f>
        <v>0.7</v>
      </c>
      <c r="N54" s="67" t="s">
        <v>26</v>
      </c>
      <c r="O54" s="68" t="s">
        <v>40</v>
      </c>
      <c r="P54" s="132">
        <f>ROUND(2.858*M53-0.283,3)</f>
        <v>2.0030000000000001</v>
      </c>
      <c r="Q54" s="69"/>
      <c r="R54" s="70"/>
      <c r="S54" s="71"/>
      <c r="T54" s="112"/>
      <c r="U54" s="72"/>
      <c r="V54" s="73"/>
      <c r="W54" s="71"/>
      <c r="X54" s="112"/>
      <c r="Y54" s="74"/>
    </row>
    <row r="55" spans="2:25" ht="9" customHeight="1" x14ac:dyDescent="0.15">
      <c r="B55" s="144"/>
      <c r="C55" s="53" t="s">
        <v>126</v>
      </c>
      <c r="D55" s="131">
        <f>G6</f>
        <v>20</v>
      </c>
      <c r="E55" s="58" t="s">
        <v>34</v>
      </c>
      <c r="F55" s="147">
        <v>400</v>
      </c>
      <c r="G55" s="41" t="str">
        <f>" Ｑf＝"&amp;FIXED(M57,3,TRUE)&amp;"×"&amp;FIXED(P56,2,TRUE)&amp;""</f>
        <v xml:space="preserve"> Ｑf＝0.126×8.37</v>
      </c>
      <c r="H55" s="41"/>
      <c r="I55" s="41"/>
      <c r="J55" s="41"/>
      <c r="K55" s="41"/>
      <c r="L55" s="41"/>
      <c r="M55" s="41"/>
      <c r="N55" s="19"/>
      <c r="O55" s="64" t="s">
        <v>63</v>
      </c>
      <c r="P55" s="129">
        <f>ROUND(M57*P56,3)</f>
        <v>1.0549999999999999</v>
      </c>
      <c r="Q55" s="58" t="s">
        <v>93</v>
      </c>
      <c r="R55" s="75" t="str">
        <f>" Ｑ単位＝"&amp;FIXED(0.81,2)&amp;"×"&amp;FIXED(P55,3,TRUE)&amp;""</f>
        <v xml:space="preserve"> Ｑ単位＝0.81×1.055</v>
      </c>
      <c r="S55" s="62" t="s">
        <v>132</v>
      </c>
      <c r="T55" s="129">
        <f>ROUND(0.81*P55,3)</f>
        <v>0.85499999999999998</v>
      </c>
      <c r="U55" s="51" t="s">
        <v>90</v>
      </c>
      <c r="V55" s="41" t="str">
        <f>" Ｑ2＝"&amp;FIXED(T55,3,TRUE)&amp;"×"&amp;FIXED(I19,0,TRUE)&amp;""</f>
        <v xml:space="preserve"> Ｑ2＝0.855×3</v>
      </c>
      <c r="W55" s="62" t="s">
        <v>134</v>
      </c>
      <c r="X55" s="130">
        <f>ROUND(T55*I19,3)</f>
        <v>2.5649999999999999</v>
      </c>
      <c r="Y55" s="54" t="s">
        <v>91</v>
      </c>
    </row>
    <row r="56" spans="2:25" ht="9" customHeight="1" x14ac:dyDescent="0.15">
      <c r="B56" s="144"/>
      <c r="C56" s="53" t="s">
        <v>127</v>
      </c>
      <c r="D56" s="131">
        <f>E9</f>
        <v>0</v>
      </c>
      <c r="E56" s="58" t="s">
        <v>35</v>
      </c>
      <c r="F56" s="147"/>
      <c r="G56" s="41" t="str">
        <f>" Ｋf＝"&amp;FIXED(P57,3,TRUE)&amp;"×"&amp;FIXED(M59,1,TRUE)&amp;"×"&amp;FIXED(M59,1,TRUE)&amp;"+"&amp;FIXED(P58,3,TRUE)&amp;"×"&amp;FIXED(M59,1,TRUE)&amp;"+"&amp;FIXED(P59,3,TRUE)&amp;""</f>
        <v xml:space="preserve"> Ｋf＝1.081×0.8×0.8+7.090×0.8+2.003</v>
      </c>
      <c r="H56" s="41"/>
      <c r="I56" s="41"/>
      <c r="J56" s="41"/>
      <c r="K56" s="41"/>
      <c r="L56" s="53" t="s">
        <v>55</v>
      </c>
      <c r="M56" s="131" t="str">
        <f>VLOOKUP(雨水浸透マスの選定!I6,選定条件!A5:G14,5)</f>
        <v>3.5×10-3</v>
      </c>
      <c r="N56" s="19" t="s">
        <v>28</v>
      </c>
      <c r="O56" s="64" t="s">
        <v>36</v>
      </c>
      <c r="P56" s="132">
        <f>ROUND(P57*M59*M59+P58*M59+P59,2)</f>
        <v>8.3699999999999992</v>
      </c>
      <c r="Q56" s="58" t="s">
        <v>37</v>
      </c>
      <c r="R56" s="135"/>
      <c r="S56" s="64"/>
      <c r="T56" s="136"/>
      <c r="U56" s="58"/>
      <c r="W56" s="65"/>
      <c r="Y56" s="57"/>
    </row>
    <row r="57" spans="2:25" ht="9" customHeight="1" x14ac:dyDescent="0.15">
      <c r="B57" s="144"/>
      <c r="C57" s="53"/>
      <c r="E57" s="56"/>
      <c r="F57" s="147"/>
      <c r="G57" s="41" t="str">
        <f>"  ａ＝"&amp;FIXED(0.12,3,TRUE)&amp;"×"&amp;FIXED(M58,1,TRUE)&amp;"+"&amp;FIXED(0.985,3,TRUE)&amp;""</f>
        <v xml:space="preserve">  ａ＝0.120×0.8+0.985</v>
      </c>
      <c r="H57" s="41"/>
      <c r="I57" s="41"/>
      <c r="J57" s="41"/>
      <c r="K57" s="41"/>
      <c r="L57" s="53" t="s">
        <v>57</v>
      </c>
      <c r="M57" s="131">
        <f>VLOOKUP(雨水浸透マスの選定!I6,選定条件!A6:G15,7)</f>
        <v>0.126</v>
      </c>
      <c r="N57" s="19" t="s">
        <v>58</v>
      </c>
      <c r="O57" s="64" t="s">
        <v>38</v>
      </c>
      <c r="P57" s="132">
        <f>ROUND(0.12*M58+0.985,4)</f>
        <v>1.081</v>
      </c>
      <c r="Q57" s="58"/>
      <c r="R57" s="135"/>
      <c r="S57" s="64"/>
      <c r="T57" s="136"/>
      <c r="U57" s="58"/>
      <c r="W57" s="65"/>
      <c r="Y57" s="57"/>
    </row>
    <row r="58" spans="2:25" ht="9" customHeight="1" x14ac:dyDescent="0.15">
      <c r="B58" s="144"/>
      <c r="C58" s="53"/>
      <c r="E58" s="56"/>
      <c r="F58" s="147"/>
      <c r="G58" s="41" t="str">
        <f>"  ｂ＝"&amp;FIXED(7.837,3,TRUE)&amp;"×"&amp;FIXED(M58,1,TRUE)&amp;"+"&amp;FIXED(0.82,2,TRUE)&amp;""</f>
        <v xml:space="preserve">  ｂ＝7.837×0.8+0.82</v>
      </c>
      <c r="H58" s="41"/>
      <c r="I58" s="41"/>
      <c r="J58" s="41"/>
      <c r="K58" s="41"/>
      <c r="L58" s="53" t="s">
        <v>60</v>
      </c>
      <c r="M58" s="131">
        <f>I13</f>
        <v>0.8</v>
      </c>
      <c r="N58" s="19" t="s">
        <v>26</v>
      </c>
      <c r="O58" s="64" t="s">
        <v>39</v>
      </c>
      <c r="P58" s="132">
        <f>ROUND(7.837*M58+0.82,3)</f>
        <v>7.09</v>
      </c>
      <c r="Q58" s="58"/>
      <c r="R58" s="55"/>
      <c r="S58" s="65"/>
      <c r="U58" s="56"/>
      <c r="W58" s="65"/>
      <c r="Y58" s="57"/>
    </row>
    <row r="59" spans="2:25" ht="9" customHeight="1" thickBot="1" x14ac:dyDescent="0.2">
      <c r="B59" s="145"/>
      <c r="C59" s="76"/>
      <c r="D59" s="84"/>
      <c r="E59" s="77"/>
      <c r="F59" s="153"/>
      <c r="G59" s="78" t="str">
        <f>"  ｃ＝"&amp;FIXED(2.858,3,TRUE)&amp;"×"&amp;FIXED(M58,1,TRUE)&amp;"-"&amp;FIXED(0.283,3,TRUE)&amp;""</f>
        <v xml:space="preserve">  ｃ＝2.858×0.8-0.283</v>
      </c>
      <c r="H59" s="78"/>
      <c r="I59" s="78"/>
      <c r="J59" s="78"/>
      <c r="K59" s="78"/>
      <c r="L59" s="76" t="s">
        <v>62</v>
      </c>
      <c r="M59" s="137">
        <f>I14</f>
        <v>0.8</v>
      </c>
      <c r="N59" s="79" t="s">
        <v>26</v>
      </c>
      <c r="O59" s="80" t="s">
        <v>40</v>
      </c>
      <c r="P59" s="138">
        <f>ROUND(2.858*M58-0.283,3)</f>
        <v>2.0030000000000001</v>
      </c>
      <c r="Q59" s="81"/>
      <c r="R59" s="82"/>
      <c r="S59" s="83"/>
      <c r="T59" s="84"/>
      <c r="U59" s="77"/>
      <c r="V59" s="84"/>
      <c r="W59" s="83"/>
      <c r="X59" s="84"/>
      <c r="Y59" s="85"/>
    </row>
    <row r="60" spans="2:25" ht="8.4499999999999993" customHeight="1" x14ac:dyDescent="0.15">
      <c r="C60" s="53"/>
      <c r="F60" s="19"/>
      <c r="G60" s="41"/>
      <c r="H60" s="41"/>
      <c r="I60" s="41"/>
      <c r="J60" s="41"/>
      <c r="K60" s="41"/>
      <c r="L60" s="53"/>
      <c r="M60" s="131"/>
      <c r="N60" s="19"/>
      <c r="O60" s="53"/>
      <c r="P60" s="131"/>
      <c r="Q60" s="19"/>
      <c r="U60" s="37"/>
    </row>
    <row r="61" spans="2:25" ht="8.4499999999999993" customHeight="1" x14ac:dyDescent="0.15">
      <c r="C61" s="53"/>
      <c r="H61" s="41"/>
      <c r="I61" s="41"/>
      <c r="J61" s="41"/>
      <c r="K61" s="41"/>
      <c r="L61" s="41"/>
      <c r="M61" s="41"/>
      <c r="N61" s="19"/>
      <c r="O61" s="37"/>
      <c r="U61" s="37"/>
    </row>
    <row r="62" spans="2:25" ht="8.4499999999999993" customHeight="1" x14ac:dyDescent="0.15">
      <c r="C62" s="53"/>
      <c r="N62" s="19"/>
      <c r="O62" s="53"/>
      <c r="P62" s="136"/>
      <c r="Q62" s="19"/>
      <c r="U62" s="37"/>
    </row>
    <row r="63" spans="2:25" ht="8.4499999999999993" customHeight="1" x14ac:dyDescent="0.15">
      <c r="C63" s="53"/>
      <c r="N63" s="19"/>
      <c r="O63" s="53"/>
      <c r="P63" s="136"/>
      <c r="Q63" s="19"/>
      <c r="U63" s="37"/>
    </row>
    <row r="64" spans="2:25" ht="8.4499999999999993" customHeight="1" x14ac:dyDescent="0.15">
      <c r="C64" s="53"/>
      <c r="F64" s="53"/>
      <c r="N64" s="19"/>
      <c r="O64" s="37"/>
      <c r="P64" s="53"/>
      <c r="Q64" s="136"/>
      <c r="U64" s="37"/>
    </row>
    <row r="65" spans="3:21" ht="8.4499999999999993" customHeight="1" x14ac:dyDescent="0.15">
      <c r="C65" s="53"/>
      <c r="F65" s="53"/>
      <c r="N65" s="19"/>
      <c r="O65" s="37"/>
      <c r="P65" s="53"/>
      <c r="Q65" s="136"/>
      <c r="U65" s="37"/>
    </row>
    <row r="66" spans="3:21" ht="8.4499999999999993" customHeight="1" x14ac:dyDescent="0.15">
      <c r="C66" s="53"/>
      <c r="F66" s="53"/>
      <c r="L66" s="41"/>
      <c r="M66" s="41"/>
      <c r="N66" s="19"/>
      <c r="O66" s="41"/>
      <c r="P66" s="53"/>
      <c r="Q66" s="136"/>
      <c r="U66" s="37"/>
    </row>
    <row r="67" spans="3:21" ht="8.4499999999999993" customHeight="1" x14ac:dyDescent="0.15">
      <c r="C67" s="53"/>
      <c r="F67" s="53"/>
      <c r="N67" s="19"/>
      <c r="O67" s="37"/>
      <c r="U67" s="37"/>
    </row>
    <row r="68" spans="3:21" ht="8.4499999999999993" customHeight="1" x14ac:dyDescent="0.15">
      <c r="C68" s="53"/>
      <c r="G68" s="53"/>
      <c r="H68" s="53"/>
      <c r="U68" s="37"/>
    </row>
    <row r="69" spans="3:21" ht="8.4499999999999993" customHeight="1" x14ac:dyDescent="0.15">
      <c r="C69" s="53"/>
      <c r="G69" s="53"/>
      <c r="U69" s="37"/>
    </row>
    <row r="70" spans="3:21" ht="8.4499999999999993" customHeight="1" x14ac:dyDescent="0.15">
      <c r="C70" s="53"/>
      <c r="G70" s="53"/>
      <c r="U70" s="37"/>
    </row>
    <row r="71" spans="3:21" ht="8.4499999999999993" customHeight="1" x14ac:dyDescent="0.15">
      <c r="C71" s="53"/>
      <c r="G71" s="53"/>
      <c r="U71" s="37"/>
    </row>
    <row r="72" spans="3:21" ht="9.9499999999999993" customHeight="1" x14ac:dyDescent="0.15">
      <c r="C72" s="53"/>
      <c r="G72" s="53"/>
      <c r="U72" s="37"/>
    </row>
    <row r="73" spans="3:21" ht="9.9499999999999993" customHeight="1" x14ac:dyDescent="0.15">
      <c r="U73" s="37"/>
    </row>
    <row r="74" spans="3:21" ht="9.9499999999999993" customHeight="1" x14ac:dyDescent="0.15">
      <c r="U74" s="37"/>
    </row>
    <row r="75" spans="3:21" ht="9.9499999999999993" customHeight="1" x14ac:dyDescent="0.15">
      <c r="U75" s="37"/>
    </row>
    <row r="76" spans="3:21" ht="9.9499999999999993" customHeight="1" x14ac:dyDescent="0.15">
      <c r="C76" s="53"/>
      <c r="G76" s="53"/>
      <c r="U76" s="37"/>
    </row>
    <row r="77" spans="3:21" ht="9.9499999999999993" customHeight="1" x14ac:dyDescent="0.15">
      <c r="C77" s="53"/>
      <c r="G77" s="53"/>
      <c r="S77" s="19"/>
      <c r="U77" s="37"/>
    </row>
    <row r="78" spans="3:21" ht="9.9499999999999993" customHeight="1" x14ac:dyDescent="0.15">
      <c r="C78" s="53"/>
      <c r="G78" s="53"/>
      <c r="S78" s="19"/>
      <c r="U78" s="37"/>
    </row>
    <row r="79" spans="3:21" ht="9.9499999999999993" customHeight="1" x14ac:dyDescent="0.15">
      <c r="C79" s="53"/>
      <c r="G79" s="53"/>
      <c r="S79" s="19"/>
      <c r="U79" s="37"/>
    </row>
    <row r="80" spans="3:21" ht="9.9499999999999993" customHeight="1" x14ac:dyDescent="0.15">
      <c r="C80" s="53"/>
      <c r="G80" s="53"/>
      <c r="S80" s="19"/>
      <c r="U80" s="37"/>
    </row>
    <row r="81" spans="3:21" ht="9.9499999999999993" customHeight="1" x14ac:dyDescent="0.15">
      <c r="C81" s="53"/>
      <c r="G81" s="53"/>
      <c r="S81" s="19"/>
      <c r="U81" s="37"/>
    </row>
    <row r="82" spans="3:21" ht="9.9499999999999993" customHeight="1" x14ac:dyDescent="0.15">
      <c r="C82" s="53"/>
      <c r="G82" s="53"/>
      <c r="S82" s="19"/>
      <c r="U82" s="37"/>
    </row>
    <row r="83" spans="3:21" ht="9.9499999999999993" customHeight="1" x14ac:dyDescent="0.15">
      <c r="C83" s="53"/>
      <c r="G83" s="53"/>
      <c r="S83" s="19"/>
      <c r="U83" s="37"/>
    </row>
    <row r="84" spans="3:21" ht="9.9499999999999993" customHeight="1" x14ac:dyDescent="0.15">
      <c r="C84" s="53"/>
      <c r="G84" s="53"/>
      <c r="S84" s="19"/>
      <c r="U84" s="37"/>
    </row>
    <row r="85" spans="3:21" ht="9.9499999999999993" customHeight="1" x14ac:dyDescent="0.15">
      <c r="M85" s="53"/>
    </row>
    <row r="86" spans="3:21" ht="9.9499999999999993" customHeight="1" x14ac:dyDescent="0.15">
      <c r="M86" s="53"/>
    </row>
    <row r="87" spans="3:21" ht="9.9499999999999993" customHeight="1" x14ac:dyDescent="0.15">
      <c r="M87" s="53"/>
    </row>
  </sheetData>
  <sheetProtection algorithmName="SHA-512" hashValue="RYVtBH4cauGGhxmxN6gYhXpSCcEqXpny1quO8cjRzN9ampVtduw8tpeqldXQDhUHITYTltTdSCNbC42wFqNAyw==" saltValue="l2/pWc69R3C4jvdfn1g0RQ==" spinCount="100000" sheet="1" objects="1" selectLockedCells="1"/>
  <mergeCells count="21">
    <mergeCell ref="X1:Y1"/>
    <mergeCell ref="G5:H5"/>
    <mergeCell ref="F55:F59"/>
    <mergeCell ref="F30:F34"/>
    <mergeCell ref="F35:F39"/>
    <mergeCell ref="V1:W1"/>
    <mergeCell ref="I5:J5"/>
    <mergeCell ref="E5:F5"/>
    <mergeCell ref="I6:I9"/>
    <mergeCell ref="J6:J9"/>
    <mergeCell ref="E6:F6"/>
    <mergeCell ref="E7:F7"/>
    <mergeCell ref="E8:F8"/>
    <mergeCell ref="E9:F9"/>
    <mergeCell ref="G6:H9"/>
    <mergeCell ref="B24:B29"/>
    <mergeCell ref="B30:B59"/>
    <mergeCell ref="F45:F49"/>
    <mergeCell ref="C5:D5"/>
    <mergeCell ref="F50:F54"/>
    <mergeCell ref="F40:F44"/>
  </mergeCells>
  <phoneticPr fontId="5"/>
  <pageMargins left="0.62992125984251968" right="0" top="0.78740157480314965" bottom="0.23622047244094491" header="0.74803149606299213" footer="0.23622047244094491"/>
  <pageSetup paperSize="9" scale="9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G30"/>
  <sheetViews>
    <sheetView showGridLines="0" defaultGridColor="0" colorId="22" zoomScale="75" workbookViewId="0">
      <selection activeCell="D33" sqref="D33"/>
    </sheetView>
  </sheetViews>
  <sheetFormatPr defaultColWidth="7.625" defaultRowHeight="14.25" x14ac:dyDescent="0.15"/>
  <cols>
    <col min="2" max="2" width="26.25" customWidth="1"/>
    <col min="3" max="3" width="19.25" bestFit="1" customWidth="1"/>
    <col min="4" max="4" width="19.75" bestFit="1" customWidth="1"/>
    <col min="5" max="5" width="17.375" customWidth="1"/>
    <col min="6" max="6" width="20.625" bestFit="1" customWidth="1"/>
    <col min="7" max="7" width="18.75" bestFit="1" customWidth="1"/>
    <col min="8" max="8" width="24.375" bestFit="1" customWidth="1"/>
    <col min="9" max="9" width="20.625" customWidth="1"/>
    <col min="10" max="10" width="23.125" customWidth="1"/>
    <col min="11" max="11" width="24.375" customWidth="1"/>
    <col min="12" max="12" width="31.125" customWidth="1"/>
    <col min="13" max="13" width="13.375" customWidth="1"/>
    <col min="14" max="15" width="11.375" bestFit="1" customWidth="1"/>
    <col min="16" max="16" width="11.5" bestFit="1" customWidth="1"/>
  </cols>
  <sheetData>
    <row r="1" spans="1:7" x14ac:dyDescent="0.15">
      <c r="B1" t="s">
        <v>0</v>
      </c>
    </row>
    <row r="3" spans="1:7" x14ac:dyDescent="0.15">
      <c r="A3" s="1"/>
      <c r="B3" s="2" t="s">
        <v>3</v>
      </c>
      <c r="C3" s="170" t="s">
        <v>13</v>
      </c>
      <c r="D3" s="170"/>
      <c r="E3" s="171" t="s">
        <v>23</v>
      </c>
      <c r="F3" s="171"/>
      <c r="G3" s="17" t="s">
        <v>29</v>
      </c>
    </row>
    <row r="4" spans="1:7" x14ac:dyDescent="0.15">
      <c r="A4" s="3"/>
      <c r="B4" s="4"/>
      <c r="C4" s="5" t="s">
        <v>22</v>
      </c>
      <c r="D4" s="7" t="s">
        <v>21</v>
      </c>
      <c r="E4" s="7" t="s">
        <v>22</v>
      </c>
      <c r="F4" s="7" t="s">
        <v>21</v>
      </c>
      <c r="G4" s="8" t="s">
        <v>21</v>
      </c>
    </row>
    <row r="5" spans="1:7" x14ac:dyDescent="0.15">
      <c r="A5" s="3">
        <v>0</v>
      </c>
      <c r="B5" s="4" t="s">
        <v>11</v>
      </c>
      <c r="C5" s="4"/>
      <c r="D5" s="6"/>
      <c r="E5" s="6"/>
      <c r="F5" s="6"/>
      <c r="G5" s="8"/>
    </row>
    <row r="6" spans="1:7" ht="16.5" x14ac:dyDescent="0.15">
      <c r="A6" s="3">
        <v>1</v>
      </c>
      <c r="B6" s="9" t="s">
        <v>4</v>
      </c>
      <c r="C6" s="10" t="s">
        <v>14</v>
      </c>
      <c r="D6" s="11">
        <v>5.0000000000000001E-3</v>
      </c>
      <c r="E6" s="7" t="s">
        <v>94</v>
      </c>
      <c r="F6" s="7">
        <v>3.0000000000000001E-6</v>
      </c>
      <c r="G6" s="8">
        <f t="shared" ref="G6:G12" si="0">F6*3600/100</f>
        <v>1.0800000000000001E-4</v>
      </c>
    </row>
    <row r="7" spans="1:7" ht="16.5" x14ac:dyDescent="0.15">
      <c r="A7" s="3">
        <v>2</v>
      </c>
      <c r="B7" s="9" t="s">
        <v>5</v>
      </c>
      <c r="C7" s="10" t="s">
        <v>15</v>
      </c>
      <c r="D7" s="10">
        <v>0.03</v>
      </c>
      <c r="E7" s="7" t="s">
        <v>95</v>
      </c>
      <c r="F7" s="7">
        <v>4.4999999999999999E-4</v>
      </c>
      <c r="G7" s="8">
        <f t="shared" si="0"/>
        <v>1.6199999999999999E-2</v>
      </c>
    </row>
    <row r="8" spans="1:7" ht="16.5" x14ac:dyDescent="0.15">
      <c r="A8" s="3">
        <v>3</v>
      </c>
      <c r="B8" s="9" t="s">
        <v>6</v>
      </c>
      <c r="C8" s="10" t="s">
        <v>16</v>
      </c>
      <c r="D8" s="10">
        <v>7.4999999999999997E-2</v>
      </c>
      <c r="E8" s="7" t="s">
        <v>96</v>
      </c>
      <c r="F8" s="7">
        <v>3.5000000000000001E-3</v>
      </c>
      <c r="G8" s="8">
        <f t="shared" si="0"/>
        <v>0.126</v>
      </c>
    </row>
    <row r="9" spans="1:7" x14ac:dyDescent="0.15">
      <c r="A9" s="3">
        <v>4</v>
      </c>
      <c r="B9" s="12" t="s">
        <v>7</v>
      </c>
      <c r="C9" s="10" t="s">
        <v>17</v>
      </c>
      <c r="D9" s="10">
        <v>0.17499999999999999</v>
      </c>
      <c r="E9" s="7">
        <v>1.4999999999999999E-2</v>
      </c>
      <c r="F9" s="7">
        <v>1.4999999999999999E-2</v>
      </c>
      <c r="G9" s="8">
        <f t="shared" si="0"/>
        <v>0.54</v>
      </c>
    </row>
    <row r="10" spans="1:7" x14ac:dyDescent="0.15">
      <c r="A10" s="3">
        <v>5</v>
      </c>
      <c r="B10" s="9" t="s">
        <v>8</v>
      </c>
      <c r="C10" s="10" t="s">
        <v>18</v>
      </c>
      <c r="D10" s="10">
        <v>0.375</v>
      </c>
      <c r="E10" s="7">
        <v>8.5000000000000006E-2</v>
      </c>
      <c r="F10" s="7">
        <v>8.5000000000000006E-2</v>
      </c>
      <c r="G10" s="8">
        <f t="shared" si="0"/>
        <v>3.06</v>
      </c>
    </row>
    <row r="11" spans="1:7" x14ac:dyDescent="0.15">
      <c r="A11" s="3">
        <v>6</v>
      </c>
      <c r="B11" s="9" t="s">
        <v>9</v>
      </c>
      <c r="C11" s="10" t="s">
        <v>19</v>
      </c>
      <c r="D11" s="10">
        <v>0.75</v>
      </c>
      <c r="E11" s="7">
        <v>0.35</v>
      </c>
      <c r="F11" s="7">
        <v>0.35</v>
      </c>
      <c r="G11" s="8">
        <f t="shared" si="0"/>
        <v>12.6</v>
      </c>
    </row>
    <row r="12" spans="1:7" x14ac:dyDescent="0.15">
      <c r="A12" s="3">
        <v>7</v>
      </c>
      <c r="B12" s="12" t="s">
        <v>10</v>
      </c>
      <c r="C12" s="10" t="s">
        <v>20</v>
      </c>
      <c r="D12" s="10">
        <v>3</v>
      </c>
      <c r="E12" s="10">
        <v>3</v>
      </c>
      <c r="F12" s="10">
        <v>3</v>
      </c>
      <c r="G12" s="8">
        <f t="shared" si="0"/>
        <v>108</v>
      </c>
    </row>
    <row r="13" spans="1:7" x14ac:dyDescent="0.15">
      <c r="A13" s="3">
        <v>8</v>
      </c>
      <c r="B13" s="4" t="s">
        <v>12</v>
      </c>
      <c r="C13" s="10" t="s">
        <v>2</v>
      </c>
      <c r="D13" s="6"/>
      <c r="E13" s="6"/>
      <c r="F13" s="6"/>
      <c r="G13" s="8"/>
    </row>
    <row r="14" spans="1:7" x14ac:dyDescent="0.15">
      <c r="A14" s="13">
        <v>9</v>
      </c>
      <c r="B14" s="14" t="s">
        <v>11</v>
      </c>
      <c r="C14" s="15"/>
      <c r="D14" s="16"/>
      <c r="E14" s="16"/>
      <c r="F14" s="16"/>
      <c r="G14" s="18"/>
    </row>
    <row r="20" spans="1:4" x14ac:dyDescent="0.15">
      <c r="A20" s="95"/>
      <c r="B20" s="96" t="s">
        <v>97</v>
      </c>
      <c r="C20" s="143" t="s">
        <v>98</v>
      </c>
      <c r="D20" s="97" t="s">
        <v>21</v>
      </c>
    </row>
    <row r="21" spans="1:4" x14ac:dyDescent="0.15">
      <c r="A21" s="98">
        <v>0</v>
      </c>
      <c r="B21" s="109" t="s">
        <v>135</v>
      </c>
      <c r="C21" s="99"/>
      <c r="D21" s="100"/>
    </row>
    <row r="22" spans="1:4" x14ac:dyDescent="0.15">
      <c r="A22" s="98">
        <v>1</v>
      </c>
      <c r="B22" s="99" t="s">
        <v>100</v>
      </c>
      <c r="C22" s="101" t="s">
        <v>99</v>
      </c>
      <c r="D22" s="102">
        <v>0.9</v>
      </c>
    </row>
    <row r="23" spans="1:4" x14ac:dyDescent="0.15">
      <c r="A23" s="98">
        <v>2</v>
      </c>
      <c r="B23" s="99" t="s">
        <v>101</v>
      </c>
      <c r="C23" s="101" t="s">
        <v>108</v>
      </c>
      <c r="D23" s="107">
        <v>0.85</v>
      </c>
    </row>
    <row r="24" spans="1:4" x14ac:dyDescent="0.15">
      <c r="A24" s="98">
        <v>3</v>
      </c>
      <c r="B24" s="99" t="s">
        <v>102</v>
      </c>
      <c r="C24" s="101" t="s">
        <v>109</v>
      </c>
      <c r="D24" s="102">
        <v>0.8</v>
      </c>
    </row>
    <row r="25" spans="1:4" x14ac:dyDescent="0.15">
      <c r="A25" s="98">
        <v>4</v>
      </c>
      <c r="B25" s="99" t="s">
        <v>103</v>
      </c>
      <c r="C25" s="103">
        <v>1</v>
      </c>
      <c r="D25" s="102">
        <v>1</v>
      </c>
    </row>
    <row r="26" spans="1:4" x14ac:dyDescent="0.15">
      <c r="A26" s="98">
        <v>5</v>
      </c>
      <c r="B26" s="99" t="s">
        <v>104</v>
      </c>
      <c r="C26" s="101" t="s">
        <v>110</v>
      </c>
      <c r="D26" s="102">
        <v>0.2</v>
      </c>
    </row>
    <row r="27" spans="1:4" x14ac:dyDescent="0.15">
      <c r="A27" s="98">
        <v>6</v>
      </c>
      <c r="B27" s="99" t="s">
        <v>105</v>
      </c>
      <c r="C27" s="101" t="s">
        <v>111</v>
      </c>
      <c r="D27" s="107">
        <v>0.15</v>
      </c>
    </row>
    <row r="28" spans="1:4" x14ac:dyDescent="0.15">
      <c r="A28" s="98">
        <v>7</v>
      </c>
      <c r="B28" s="99" t="s">
        <v>106</v>
      </c>
      <c r="C28" s="101" t="s">
        <v>112</v>
      </c>
      <c r="D28" s="102">
        <v>0.3</v>
      </c>
    </row>
    <row r="29" spans="1:4" x14ac:dyDescent="0.15">
      <c r="A29" s="98">
        <v>8</v>
      </c>
      <c r="B29" s="99" t="s">
        <v>107</v>
      </c>
      <c r="C29" s="101" t="s">
        <v>113</v>
      </c>
      <c r="D29" s="102">
        <v>0.5</v>
      </c>
    </row>
    <row r="30" spans="1:4" x14ac:dyDescent="0.15">
      <c r="A30" s="104">
        <v>9</v>
      </c>
      <c r="B30" s="110" t="s">
        <v>135</v>
      </c>
      <c r="C30" s="105"/>
      <c r="D30" s="106"/>
    </row>
  </sheetData>
  <sheetProtection algorithmName="SHA-512" hashValue="IYhlfcXXu8ASMJ76slmqy5G4MVOh7qMXyOFM2rXCkHU8Q/qUCyyb0jlYc87QQDFtms1vPOTKgorx90A8K/IifA==" saltValue="rSP2//rwFeQNOaGRe7QdsQ==" spinCount="100000" sheet="1" objects="1" scenarios="1" selectLockedCells="1" selectUnlockedCells="1"/>
  <mergeCells count="2">
    <mergeCell ref="C3:D3"/>
    <mergeCell ref="E3:F3"/>
  </mergeCells>
  <phoneticPr fontId="5"/>
  <pageMargins left="0.5" right="0.5" top="0.5" bottom="0.5" header="0.51200000000000001" footer="0.5120000000000000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雨水浸透マスの選定</vt:lpstr>
      <vt:lpstr>選定条件</vt:lpstr>
      <vt:lpstr>雨水浸透マスの選定!Print_Area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16616</dc:creator>
  <cp:lastModifiedBy>矢島 朋幸</cp:lastModifiedBy>
  <cp:lastPrinted>2021-05-31T06:20:00Z</cp:lastPrinted>
  <dcterms:created xsi:type="dcterms:W3CDTF">2002-10-09T07:54:19Z</dcterms:created>
  <dcterms:modified xsi:type="dcterms:W3CDTF">2023-07-27T02:42:26Z</dcterms:modified>
</cp:coreProperties>
</file>